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Trzydnik Duży\2021\ZapytaniaOfertyAnalizy\Przetarg\SIWZ\"/>
    </mc:Choice>
  </mc:AlternateContent>
  <xr:revisionPtr revIDLastSave="0" documentId="8_{B97ABF1D-0B92-4B0D-92B4-1679C13508D9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Załacznik Nr 1 - Wykaz mienia" sheetId="1" r:id="rId1"/>
    <sheet name="Załącznik Nr 2 - Wykaz sprzętu" sheetId="2" r:id="rId2"/>
    <sheet name="Załącznik Nr 3 - Wykaz pojazdów" sheetId="5" r:id="rId3"/>
    <sheet name="Załacznik Nr 4 - Zabezpieczenia" sheetId="6" r:id="rId4"/>
  </sheets>
  <calcPr calcId="191029"/>
</workbook>
</file>

<file path=xl/calcChain.xml><?xml version="1.0" encoding="utf-8"?>
<calcChain xmlns="http://schemas.openxmlformats.org/spreadsheetml/2006/main">
  <c r="J14" i="1" l="1"/>
  <c r="K81" i="1" l="1"/>
  <c r="E81" i="1" s="1"/>
  <c r="K85" i="1"/>
  <c r="K84" i="1"/>
  <c r="D49" i="2"/>
  <c r="K124" i="1"/>
  <c r="E124" i="1" s="1"/>
  <c r="D47" i="2"/>
  <c r="K122" i="1"/>
  <c r="E122" i="1" s="1"/>
  <c r="K123" i="1"/>
  <c r="E123" i="1" s="1"/>
  <c r="D46" i="2"/>
  <c r="D45" i="2"/>
  <c r="J121" i="1"/>
  <c r="E121" i="1" s="1"/>
  <c r="J120" i="1"/>
  <c r="E120" i="1" s="1"/>
  <c r="J119" i="1"/>
  <c r="E119" i="1" s="1"/>
  <c r="K93" i="1"/>
  <c r="E93" i="1" s="1"/>
  <c r="K92" i="1"/>
  <c r="D22" i="2"/>
  <c r="D19" i="2"/>
  <c r="D20" i="2"/>
  <c r="D21" i="2"/>
  <c r="E92" i="1" l="1"/>
  <c r="D17" i="2"/>
  <c r="K86" i="1"/>
  <c r="E86" i="1" s="1"/>
  <c r="D16" i="2"/>
  <c r="D15" i="2"/>
  <c r="K116" i="1"/>
  <c r="K117" i="1"/>
  <c r="E117" i="1" s="1"/>
  <c r="K115" i="1"/>
  <c r="E115" i="1" s="1"/>
  <c r="D43" i="2"/>
  <c r="D42" i="2"/>
  <c r="D38" i="2"/>
  <c r="D40" i="2"/>
  <c r="D39" i="2"/>
  <c r="D41" i="2"/>
  <c r="E114" i="1"/>
  <c r="E79" i="1"/>
  <c r="K111" i="1" l="1"/>
  <c r="D35" i="2"/>
  <c r="D34" i="2"/>
  <c r="D33" i="2"/>
  <c r="D32" i="2"/>
  <c r="K110" i="1"/>
  <c r="E110" i="1" s="1"/>
  <c r="K109" i="1"/>
  <c r="E109" i="1" s="1"/>
  <c r="E108" i="1"/>
  <c r="E107" i="1"/>
  <c r="E106" i="1"/>
  <c r="E105" i="1"/>
  <c r="E84" i="1"/>
  <c r="J82" i="1" l="1"/>
  <c r="K80" i="1"/>
  <c r="E80" i="1" s="1"/>
  <c r="D6" i="2"/>
  <c r="K78" i="1"/>
  <c r="E78" i="1" s="1"/>
  <c r="D4" i="2"/>
  <c r="E72" i="1"/>
  <c r="E30" i="1"/>
  <c r="E29" i="1"/>
  <c r="J10" i="1"/>
  <c r="E10" i="1" s="1"/>
  <c r="J8" i="1"/>
  <c r="J4" i="1"/>
  <c r="E76" i="1" l="1"/>
  <c r="E74" i="1"/>
  <c r="E75" i="1"/>
  <c r="E60" i="1"/>
  <c r="E41" i="1"/>
  <c r="E33" i="1"/>
  <c r="E9" i="1"/>
  <c r="E116" i="1"/>
  <c r="D48" i="2"/>
  <c r="J112" i="1"/>
  <c r="E113" i="1"/>
  <c r="E101" i="1"/>
  <c r="K102" i="1"/>
  <c r="E102" i="1" s="1"/>
  <c r="K90" i="1"/>
  <c r="K88" i="1"/>
  <c r="H88" i="1"/>
  <c r="E85" i="1" l="1"/>
  <c r="D11" i="2"/>
  <c r="D9" i="2"/>
  <c r="D8" i="2"/>
  <c r="E83" i="1" l="1"/>
  <c r="E82" i="1"/>
  <c r="E77" i="1"/>
  <c r="D10" i="2"/>
  <c r="E13" i="1" l="1"/>
  <c r="J12" i="1"/>
  <c r="E12" i="1" s="1"/>
  <c r="G116" i="1" l="1"/>
  <c r="G102" i="1"/>
  <c r="J104" i="1" l="1"/>
  <c r="E104" i="1" s="1"/>
  <c r="K101" i="1"/>
  <c r="E100" i="1"/>
  <c r="K100" i="1" s="1"/>
  <c r="J94" i="1"/>
  <c r="D29" i="2"/>
  <c r="D28" i="2"/>
  <c r="D27" i="2"/>
  <c r="D24" i="2"/>
  <c r="K91" i="1"/>
  <c r="J28" i="1" l="1"/>
  <c r="E28" i="1" s="1"/>
  <c r="J27" i="1"/>
  <c r="E27" i="1" s="1"/>
  <c r="J26" i="1"/>
  <c r="E26" i="1" s="1"/>
  <c r="J25" i="1"/>
  <c r="E25" i="1" s="1"/>
  <c r="J24" i="1"/>
  <c r="E24" i="1" s="1"/>
  <c r="J23" i="1"/>
  <c r="E23" i="1" s="1"/>
  <c r="J22" i="1"/>
  <c r="E22" i="1" s="1"/>
  <c r="J21" i="1"/>
  <c r="E21" i="1" s="1"/>
  <c r="J20" i="1"/>
  <c r="E20" i="1" s="1"/>
  <c r="J18" i="1"/>
  <c r="E18" i="1" s="1"/>
  <c r="J17" i="1"/>
  <c r="E17" i="1" s="1"/>
  <c r="E14" i="1"/>
  <c r="J15" i="1"/>
  <c r="E15" i="1" s="1"/>
  <c r="J16" i="1"/>
  <c r="E16" i="1" s="1"/>
  <c r="J5" i="1"/>
  <c r="E5" i="1" s="1"/>
  <c r="E4" i="1"/>
  <c r="J6" i="1"/>
  <c r="E6" i="1" s="1"/>
  <c r="J7" i="1"/>
  <c r="E7" i="1" s="1"/>
  <c r="E8" i="1"/>
  <c r="J11" i="1"/>
  <c r="E11" i="1" s="1"/>
  <c r="J19" i="1"/>
  <c r="E19" i="1" s="1"/>
  <c r="E31" i="1"/>
  <c r="E32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J87" i="1"/>
  <c r="E87" i="1" s="1"/>
  <c r="J88" i="1"/>
  <c r="E88" i="1" s="1"/>
  <c r="J89" i="1"/>
  <c r="E89" i="1" s="1"/>
  <c r="J90" i="1"/>
  <c r="E90" i="1" s="1"/>
  <c r="J91" i="1"/>
  <c r="E91" i="1" s="1"/>
  <c r="E94" i="1"/>
  <c r="J95" i="1"/>
  <c r="E95" i="1" s="1"/>
  <c r="E112" i="1"/>
  <c r="J118" i="1"/>
  <c r="E118" i="1" s="1"/>
  <c r="E58" i="1"/>
  <c r="E59" i="1"/>
  <c r="E61" i="1"/>
  <c r="E62" i="1"/>
  <c r="E64" i="1"/>
  <c r="E65" i="1"/>
  <c r="E66" i="1"/>
  <c r="E68" i="1"/>
  <c r="E69" i="1"/>
  <c r="E70" i="1"/>
  <c r="E71" i="1"/>
  <c r="E73" i="1"/>
  <c r="E57" i="1"/>
  <c r="E56" i="1"/>
  <c r="E63" i="1"/>
  <c r="E67" i="1"/>
  <c r="E55" i="1"/>
  <c r="J93" i="1"/>
  <c r="J124" i="1"/>
  <c r="E103" i="1"/>
  <c r="J111" i="1"/>
  <c r="E111" i="1" s="1"/>
  <c r="J116" i="1"/>
</calcChain>
</file>

<file path=xl/sharedStrings.xml><?xml version="1.0" encoding="utf-8"?>
<sst xmlns="http://schemas.openxmlformats.org/spreadsheetml/2006/main" count="902" uniqueCount="340">
  <si>
    <t>Lp.</t>
  </si>
  <si>
    <t>Jednostka orgnizacyjna</t>
  </si>
  <si>
    <t>Lokalizacja / przeznaczenie</t>
  </si>
  <si>
    <t>Rok budowy</t>
  </si>
  <si>
    <t>Materiały konstrukcyjne</t>
  </si>
  <si>
    <t>Wartość O m2</t>
  </si>
  <si>
    <t>Wartość O</t>
  </si>
  <si>
    <t>Wartość KB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</si>
  <si>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</si>
  <si>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</si>
  <si>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</si>
  <si>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</si>
  <si>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</si>
  <si>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</si>
  <si>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</si>
  <si>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</si>
  <si>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</si>
  <si>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</si>
  <si>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</si>
  <si>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</si>
  <si>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</si>
  <si>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</si>
  <si>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t>Nadzór konserwatora</t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</si>
  <si>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</si>
  <si>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</si>
  <si>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</si>
  <si>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</si>
  <si>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</si>
  <si>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</si>
  <si>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</si>
  <si>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Jednostka</t>
  </si>
  <si>
    <t>Nr rej.</t>
  </si>
  <si>
    <t>Marka</t>
  </si>
  <si>
    <t>Typ/model</t>
  </si>
  <si>
    <t>Rodzaj</t>
  </si>
  <si>
    <t>Poj./ład.</t>
  </si>
  <si>
    <t>L. miejsc</t>
  </si>
  <si>
    <t>Nr nadwozia</t>
  </si>
  <si>
    <t>Okres OC</t>
  </si>
  <si>
    <t>Okres AC</t>
  </si>
  <si>
    <t>p</t>
  </si>
  <si>
    <t>s</t>
  </si>
  <si>
    <t>b</t>
  </si>
  <si>
    <t>w</t>
  </si>
  <si>
    <t>Rodzaj sumy ubezpieczenia</t>
  </si>
  <si>
    <t>KB</t>
  </si>
  <si>
    <t>Wyposażenie i urządzenia</t>
  </si>
  <si>
    <t>nie</t>
  </si>
  <si>
    <t>blacha</t>
  </si>
  <si>
    <t>beton</t>
  </si>
  <si>
    <t>papa</t>
  </si>
  <si>
    <t>cegła</t>
  </si>
  <si>
    <t>Plac zabaw</t>
  </si>
  <si>
    <t>O</t>
  </si>
  <si>
    <t>Okres NW</t>
  </si>
  <si>
    <t>suporex</t>
  </si>
  <si>
    <t>eternit</t>
  </si>
  <si>
    <t>drewno</t>
  </si>
  <si>
    <t>Wyposażenie i urzadzenia</t>
  </si>
  <si>
    <t>Tablica interaktywna z projektorem</t>
  </si>
  <si>
    <t xml:space="preserve">Urzad Gminy Trzydnik Duzy </t>
  </si>
  <si>
    <t>Budynek gospodarczy POM Rzeczyca Ziemiańska</t>
  </si>
  <si>
    <t>Budynek lecznicy - przychodnia, Trzydnik Duzy</t>
  </si>
  <si>
    <t>Pawilon handlowy - Olbięcin</t>
  </si>
  <si>
    <t>Budynek mieszklany - drewnaiany Łychów</t>
  </si>
  <si>
    <t>Budynek stara szkoła, Rzeczyca Ziemieńska</t>
  </si>
  <si>
    <t>Budynek Posterunku Policji, Trzydnik Duży</t>
  </si>
  <si>
    <t>Budynek gospodarczy przy Posterunku, Trzydnik Duzy</t>
  </si>
  <si>
    <t>Straznica OSP, Wola Trzydnicka</t>
  </si>
  <si>
    <t>Straznica OSP, Rzeczyca Ziemiańska</t>
  </si>
  <si>
    <t>Straznica OSP, Olbiecin</t>
  </si>
  <si>
    <t>Strażnica OSP, Liśnik Mały</t>
  </si>
  <si>
    <t>Straznica OSP, Łychów Gościeradowski</t>
  </si>
  <si>
    <t>Straznica OSP, Dąbrowa</t>
  </si>
  <si>
    <t>Straznica OSP, Weglinek</t>
  </si>
  <si>
    <t>Straznica OSP, Rzeczyca Księża</t>
  </si>
  <si>
    <t>Strażnica OSP, Agatówka</t>
  </si>
  <si>
    <t>Strazniac OSP, Węglin</t>
  </si>
  <si>
    <t>Budynek gospodarczy przy OSP, Weglin</t>
  </si>
  <si>
    <t>Budynek administracji UG, Trzydnik Duży</t>
  </si>
  <si>
    <t>Budynek Stacji wodociągowej, Owczarnia</t>
  </si>
  <si>
    <t>Przystanek autobusowy, Olbięcin</t>
  </si>
  <si>
    <t>Przystanek autobusowy, Wólka Olbięcka</t>
  </si>
  <si>
    <t>Przystanek autobusowy, Rzeczyca Księża</t>
  </si>
  <si>
    <t>Przystanek autobusowy, Trzydnik Duży</t>
  </si>
  <si>
    <t>Przystanek autobusowy, Trzydnik Duzy Kolonia</t>
  </si>
  <si>
    <t>Przystanek autobusowy, Dąbrowa</t>
  </si>
  <si>
    <t>Przystanek autobusowy, Liśnik Mały</t>
  </si>
  <si>
    <t>Przystank autobusowy, Olbięcin</t>
  </si>
  <si>
    <t>Rampa lecznicy</t>
  </si>
  <si>
    <t>Ogrodzenie UG Trzydnik Duży</t>
  </si>
  <si>
    <t>Ogrodzenie stacji wodociągowej, Owczarnia</t>
  </si>
  <si>
    <t>Studnia awaryjno-wspomagająca Nr 3 Owczarnia</t>
  </si>
  <si>
    <t>Oświetlenie drogi gminnej Olbięcin - Parama</t>
  </si>
  <si>
    <t>Oświetlenie drogi powiatowej w Rzeczycy Księżej</t>
  </si>
  <si>
    <t>Oswietlenie drogi wojewódzkiej i powiatowej w miejscowościach Węglinek, Węglin, Łychów Gościeradowski</t>
  </si>
  <si>
    <t>Oświetlenie drogi krajowej i gminnej w Olbięcinie i Dębowcu</t>
  </si>
  <si>
    <t>Oświetlenie drogi gminnej w Wólce Olbięckiej</t>
  </si>
  <si>
    <t>Oświetlenie drogi powiatowej Rzeczycy Ziemiańskiej Kolonii</t>
  </si>
  <si>
    <t>Oświetlenie drogi krajowej w woli Trzydnickiej, Węglinie</t>
  </si>
  <si>
    <t>Oświetlenie drogi powiatowej, Łychów Gościeradowski</t>
  </si>
  <si>
    <t>Oświetlenie drogi powiatowej w Trzydniku Małym</t>
  </si>
  <si>
    <t>Oświetlenie drogi gminnej w Węglinie</t>
  </si>
  <si>
    <t>Oświetlenie drogi powiatowej w Łychowie Szlacheckim</t>
  </si>
  <si>
    <t>Oświetlenie drogi powiatowej w Trzydniku Dużym</t>
  </si>
  <si>
    <t>Oswietlenie drogi powiatowej w Rzeczycy Ziemiańskiej</t>
  </si>
  <si>
    <t>Oswietlenie drogi Zielonka - Łychów 108605L 2</t>
  </si>
  <si>
    <t>Oswietlenie drogi Zielonka - Łychów 108605L 3</t>
  </si>
  <si>
    <t>Oswietlenie drogi Łychów G. nr 108607L</t>
  </si>
  <si>
    <t>Oświetlenie drogi Rzeczyca Księża - koło stawu</t>
  </si>
  <si>
    <t>Oświetlenie drogi Dądrowa 108585L</t>
  </si>
  <si>
    <t xml:space="preserve">Oświetlenie drogi Rzeczyca Z. k/ośrodka </t>
  </si>
  <si>
    <t>Oświetlenie drogi Trzydnik Duży Torex nr 108599L 3</t>
  </si>
  <si>
    <t>Oświetlenie drogi Trzydnik Duży Torex nr 108599L 2</t>
  </si>
  <si>
    <t xml:space="preserve">Zbiornik małej retencji - Rzeczyca Księża </t>
  </si>
  <si>
    <t>Oswietlenie Trzydnik Duży, Kol. 108588L</t>
  </si>
  <si>
    <t>Oswietlenie Rzeczyca Księża 6</t>
  </si>
  <si>
    <t>Boisko Sportowe ORLIK 2012 (Kompleks Boisk Sportowych)</t>
  </si>
  <si>
    <t xml:space="preserve">Budowa boiska sportowego </t>
  </si>
  <si>
    <t>1.Urząd Gminy Trzydnik Duzy</t>
  </si>
  <si>
    <t>Centrale telefoniczne, faxy</t>
  </si>
  <si>
    <t>Monitoring, instalacja alarmowa</t>
  </si>
  <si>
    <t>Ogrodzene, furtka metalowa oraz dwie barmy</t>
  </si>
  <si>
    <t>Wyposażenie boiska  ( Piłkochwyty, bramki do piłki nożnej)</t>
  </si>
  <si>
    <t>2012 / 2009</t>
  </si>
  <si>
    <t>Sprzet muzyczny ( w tym nagłośnienie, mikrofony, itd.)</t>
  </si>
  <si>
    <t>Budynek Szkoły Łychów Gościeradowski 76</t>
  </si>
  <si>
    <t>Budynek Publicznej Szkoły Podstawowej</t>
  </si>
  <si>
    <t>Budynek gospodarczy</t>
  </si>
  <si>
    <t>drewnianie belki</t>
  </si>
  <si>
    <t>2004/2005 termomodernizacja (elewacja. Kotłownia, wymiana części okein)</t>
  </si>
  <si>
    <t>Wyposażenie boisk - bramki do piłki ręcznej i nożnej (4 sztuki)</t>
  </si>
  <si>
    <t>Ogrodzenie (z siati, słupki, drut) wraz z 2 bramami wjazdowymi i furtką</t>
  </si>
  <si>
    <t>2006-2011</t>
  </si>
  <si>
    <t>Wyposażeni i urządzenia</t>
  </si>
  <si>
    <t>płyta DZ-3</t>
  </si>
  <si>
    <t>Budynek gospodarczy w Olbięcinie 95</t>
  </si>
  <si>
    <t>Plac zabaw (zestaw Nr 2)</t>
  </si>
  <si>
    <t>Plac zabaw (w tym hustawka ważka, Dino, Lew, Łabędź, huśtawka metalowa podwójna, pomost rurowy, pomost z belką balansująca, itd..)</t>
  </si>
  <si>
    <t xml:space="preserve">Tablica interaktywna </t>
  </si>
  <si>
    <t>Budynek szkoły wraz z 3 boiskami sportowymi, placem rehabilitacyjno-rekaracyjnym, ogrodzeniem z siatki i oswiteleniem</t>
  </si>
  <si>
    <t>żelbeton</t>
  </si>
  <si>
    <t>2004 - termomodernizacja, wymiana okien, docieplenie, wymian aco, wymiana pokrycia stropodachu</t>
  </si>
  <si>
    <t>cegła max</t>
  </si>
  <si>
    <t>belki, beton, gaty</t>
  </si>
  <si>
    <t>Budynek PSP Dabrowa</t>
  </si>
  <si>
    <t>Budynek gospodarczy PSP  Dabrowa</t>
  </si>
  <si>
    <t xml:space="preserve">Gminna Biblioteka Publiczna w Trzydniku Dużym </t>
  </si>
  <si>
    <t>Gminny Ośrodek Kultury w Trzydniku Dużym</t>
  </si>
  <si>
    <t>Budynek GOK</t>
  </si>
  <si>
    <t xml:space="preserve">2. Gmina Biblioteka Publiczna w Trzydniku Dużym </t>
  </si>
  <si>
    <t>3. Gminny Ośrodek Kultury w Trzydniku Dużym</t>
  </si>
  <si>
    <t>Rok prod.</t>
  </si>
  <si>
    <t>Suma ubezp.</t>
  </si>
  <si>
    <t xml:space="preserve">LKR 04578 </t>
  </si>
  <si>
    <t>Star</t>
  </si>
  <si>
    <t>200 GBM</t>
  </si>
  <si>
    <t>6842/ 10000</t>
  </si>
  <si>
    <t>UG</t>
  </si>
  <si>
    <t>TGY 6751</t>
  </si>
  <si>
    <t>Jelcz</t>
  </si>
  <si>
    <t>TGY 9326</t>
  </si>
  <si>
    <t>Żuk</t>
  </si>
  <si>
    <t>A-156C</t>
  </si>
  <si>
    <t>2120/ 900</t>
  </si>
  <si>
    <t>TBA 7100</t>
  </si>
  <si>
    <t>LKR C888</t>
  </si>
  <si>
    <t>Lublin</t>
  </si>
  <si>
    <t>3524 kombi</t>
  </si>
  <si>
    <t>SUL352417Y0068959</t>
  </si>
  <si>
    <t>LKR 17FY</t>
  </si>
  <si>
    <t>2417/-</t>
  </si>
  <si>
    <t>SUL35243740077194</t>
  </si>
  <si>
    <t>LLY 4575</t>
  </si>
  <si>
    <t>SUL350414V000</t>
  </si>
  <si>
    <t>LKR S488</t>
  </si>
  <si>
    <t>Ford</t>
  </si>
  <si>
    <t>330M</t>
  </si>
  <si>
    <t>WFOLXXGBPL2P01115</t>
  </si>
  <si>
    <t>LKR K829</t>
  </si>
  <si>
    <t>A-15</t>
  </si>
  <si>
    <t>2120/-</t>
  </si>
  <si>
    <t>LKR X021</t>
  </si>
  <si>
    <t>Renault</t>
  </si>
  <si>
    <t>Kangoo</t>
  </si>
  <si>
    <t>ciężarowy</t>
  </si>
  <si>
    <t>1149/ 730</t>
  </si>
  <si>
    <t>VF1KCR7BF30042265</t>
  </si>
  <si>
    <t>LKR82VW</t>
  </si>
  <si>
    <t xml:space="preserve">Lublin </t>
  </si>
  <si>
    <t>2417/0</t>
  </si>
  <si>
    <t>SUL330212X0037426</t>
  </si>
  <si>
    <t>LKR03058</t>
  </si>
  <si>
    <t xml:space="preserve">Ford </t>
  </si>
  <si>
    <t>Transit</t>
  </si>
  <si>
    <t>2402/1420</t>
  </si>
  <si>
    <t>WFOXXXTTFXAB14594</t>
  </si>
  <si>
    <t>LKR 13998</t>
  </si>
  <si>
    <t>11100/-</t>
  </si>
  <si>
    <t>4210PL0001679</t>
  </si>
  <si>
    <t>Budymek Lecznicy Trzydnik Duzy</t>
  </si>
  <si>
    <t>x</t>
  </si>
  <si>
    <t>4. Ośrodek Pomocy Społecznej w Trzydniku</t>
  </si>
  <si>
    <t>Sprzęt przenośny ( wtym mobilne terminale)</t>
  </si>
  <si>
    <t xml:space="preserve">Ośrodek Pomocy Społecznej w Trzydniku </t>
  </si>
  <si>
    <t>Budynek gospodarczy Łychów Gościeradowski - toaolety zewnętrzne</t>
  </si>
  <si>
    <t>1949/1980</t>
  </si>
  <si>
    <t>malowanie blach na dachu 2009</t>
  </si>
  <si>
    <t xml:space="preserve">Szkoła Podstawowa Rzeczyca Księża </t>
  </si>
  <si>
    <t>Szkoła Podstawowa w Łychowie Gościaradowskim</t>
  </si>
  <si>
    <t>Plac zabaw (w tym karuzela, huśtawka wahadłowa podwójna metalowa, auto na sprężynach, równoważnia metalowa itd..)</t>
  </si>
  <si>
    <t xml:space="preserve">Zespół Szkolno - Przedszkolny w Rzeczycy Ziemiańskiej </t>
  </si>
  <si>
    <t>Zespół szkolno - Przedszkolny w Woli Trzydnickiej</t>
  </si>
  <si>
    <t>Zespół Szkolno - Przedszkolny w Woli Trzydnickiej</t>
  </si>
  <si>
    <t>Tablice interatywne</t>
  </si>
  <si>
    <t>Kino Janaha</t>
  </si>
  <si>
    <t>bud</t>
  </si>
  <si>
    <r>
      <t>Pow. użytk. w m</t>
    </r>
    <r>
      <rPr>
        <b/>
        <vertAlign val="superscript"/>
        <sz val="11"/>
        <rFont val="Times New Roman"/>
        <family val="1"/>
        <charset val="238"/>
      </rPr>
      <t>2</t>
    </r>
  </si>
  <si>
    <t>2011- malowanie elewacji, 2015-2017 wymiana okien (częściowa)</t>
  </si>
  <si>
    <t>Wyposażenie placu zabaw ( w tym: huśtawka podówjna, karuzela tarczow czteroramienna, zestaw nr 2 na plac zabaw, drabinka krzyżakowa ze ścianą wsppinaczkową + kotwy stalowe, baszta wieża,  huśtawka, huśtawka, hustawka ważka, hustawka równoważnia, motorek, kkaruzela kryżowa, bujak kaczka + spręzyna, hustawka wazka, zestaw nr 2 Frajda, super zjeźdzalnia, nujak kwiatuszek, hustawka, baszta z domkiem)</t>
  </si>
  <si>
    <t>2012-2016</t>
  </si>
  <si>
    <t>Zabezpieczenia przeciwpożarowe</t>
  </si>
  <si>
    <t>Zabezpieczenia przeciwkradzieżowe</t>
  </si>
  <si>
    <t>Urząd Gminy</t>
  </si>
  <si>
    <t>Zgodnie z przepisami o ochronie przeciwpożarowej</t>
  </si>
  <si>
    <t>Gminna Biblioteka Publiczna w Trzydniku Dużym</t>
  </si>
  <si>
    <t>Jednostka nie posiada swojego budynku, prowadzi działalność w budynku Urzędu Gminy w Trzydniku Dużym.</t>
  </si>
  <si>
    <t xml:space="preserve">Gminny Ośrodek Kultury w Trzydniku Dużym </t>
  </si>
  <si>
    <t xml:space="preserve">Budynek szkoły - Kraty w oknach, wszystkie drzwi zewnętrzne zaopatrzone są w co najmniej 2 zamki wielozastawkowe, elektroniczne systemy sygnalizacyjno – alarmowe zainstalowane w lokalu z ubezpieczonym mieniem, alarmujące służby patrolowe z całodobową ochroną. </t>
  </si>
  <si>
    <t xml:space="preserve">Zgodnie z przepisami o ochronie przeciwpożarowej, </t>
  </si>
  <si>
    <t xml:space="preserve">Osrodek Pomocy Społacznej </t>
  </si>
  <si>
    <t xml:space="preserve">brak nieruchomości </t>
  </si>
  <si>
    <t>Szkoła Podstawowa  w Łychowie Gościeradowskim</t>
  </si>
  <si>
    <t>Szkoła Podstawowa w Rzeczycy Księżej</t>
  </si>
  <si>
    <t>Zespół Szkolno - Przedszkolny w Olbięcinie</t>
  </si>
  <si>
    <t>Zespół Szkolno - Przedszkolny w Rzeczycy Ziemiańskiej</t>
  </si>
  <si>
    <t>Budynke OZ Trzydnik Duży</t>
  </si>
  <si>
    <t>Przystank autobusowy, Budki</t>
  </si>
  <si>
    <t xml:space="preserve">Stacja trafo Owczarnia - Linia energetyczna NW </t>
  </si>
  <si>
    <t>Oswietlenie Rzeczyca Księża 1</t>
  </si>
  <si>
    <t>Oswietlenie Trzydnik M. Trafo 3 Trzydnik Duzy Kolonia</t>
  </si>
  <si>
    <t>Wyposażenie i urządzenia (  w tym wyposażenie OSP min:. pompy, motopompy, sprzet do ratownictwa, aparaty powiwtrzne, narzędzia hydrauliczne, kosiarka samojezdna John Deere)</t>
  </si>
  <si>
    <t>UTM Stormshield</t>
  </si>
  <si>
    <t>LKR 37177</t>
  </si>
  <si>
    <t>IVECO</t>
  </si>
  <si>
    <t>EUROCARGO 150EW</t>
  </si>
  <si>
    <t>6728/-</t>
  </si>
  <si>
    <t>01.01.2018 31.12.2020</t>
  </si>
  <si>
    <t>04.10.2018 03.10.2021</t>
  </si>
  <si>
    <t>LKR 34FC</t>
  </si>
  <si>
    <t>FS Lublin</t>
  </si>
  <si>
    <t>SUL330212Y0041278</t>
  </si>
  <si>
    <t>brak danych</t>
  </si>
  <si>
    <t>Budynek świetlicy wiejskiej w Budkach</t>
  </si>
  <si>
    <t>Oświetlenie drogi gminnej w Woli Trzydnickiej</t>
  </si>
  <si>
    <t>ss</t>
  </si>
  <si>
    <t>Sprzęt elektroniczny starszy niż 7 lat</t>
  </si>
  <si>
    <t>Instalacja alarmowa starsza niż 7 lat</t>
  </si>
  <si>
    <t>6842/10000</t>
  </si>
  <si>
    <t>A-156-H</t>
  </si>
  <si>
    <t>2120/2500</t>
  </si>
  <si>
    <t>2417/ 2900</t>
  </si>
  <si>
    <t>2402/-</t>
  </si>
  <si>
    <t>SUL00711HR057</t>
  </si>
  <si>
    <t>ZCFB71LM002663767</t>
  </si>
  <si>
    <t>LKR 44298</t>
  </si>
  <si>
    <t>Master</t>
  </si>
  <si>
    <t>VF1VBH6F349948203</t>
  </si>
  <si>
    <t>LKR 49998</t>
  </si>
  <si>
    <t>Volvo</t>
  </si>
  <si>
    <t>FLD</t>
  </si>
  <si>
    <t>7698</t>
  </si>
  <si>
    <t>LKR 48998</t>
  </si>
  <si>
    <t>FL</t>
  </si>
  <si>
    <t>Budynek główny, posiada co najmniej 2 zamki wielozastawkowe w każdych drzwiach zewnętrznych, system alarmujący służby z całodobową ochroną</t>
  </si>
  <si>
    <t>suporex, cegła</t>
  </si>
  <si>
    <t>cegła bednarka, belka stalowa stropowa, słupy stalowe</t>
  </si>
  <si>
    <t>blachodachówka</t>
  </si>
  <si>
    <t>2020 -Rozbudowa budynku; wymiana instalacji elektrycznej; wymiana instalacji c.o. (łącznie z piecem gazowym i grzejnikami); wymiana wraz z rozbudową instalacji wodno-kanalizacyjnej</t>
  </si>
  <si>
    <t>cegła bednarka, belka stalowa stropowa</t>
  </si>
  <si>
    <t>Wyposażenie i urządzenia w tym instrumenty muzyczne</t>
  </si>
  <si>
    <t>Zespół Szkolno-Przedszkolny  w Olbięcinie</t>
  </si>
  <si>
    <t>Budynek przedszkola dobudowany do budynku głównego Szkoły Podstawowej nr 1 w Olbięcinie</t>
  </si>
  <si>
    <t>Budynek główny Publicznej szkoły Podstawowej w Olbięcinie</t>
  </si>
  <si>
    <t>Budynek Szkoły - Zgodnie z przepisami o ochronie przeciwpożarowej, 12 gaśnic lub agregatów, 1 hydrant zewnętrzny, sprawne urządzenie odgromowe</t>
  </si>
  <si>
    <t>Budynek przedszkola - Zgodnie z przepisami o ochronie przeciwpożarowej, 3 gaśnice lub agregaty, 1 hydrant zewnętrzny, 1 hydrant wewnętrzny, sprawne urządzenie odgromowe</t>
  </si>
  <si>
    <t>Budynek szkoły gospodarczy - zgodnie z przepisami o ochronie przeciwpożarowej, 1 hydrant zewnętrzny, sprawne urządzenie odgromowe</t>
  </si>
  <si>
    <t>Plac zabaw (w tym wieża strażacka z rurą do zjeżdzania, sklepik z tablica do malowania, ławeczka, itd..)</t>
  </si>
  <si>
    <t>Budynek szkoły - 6 gaśnic,3 hydranty wewnętrzne, sprawne urządzenie odgromowe</t>
  </si>
  <si>
    <t xml:space="preserve">Budynek szkoły -  wszystkie drzwi zewnętrzne zaopatrzone w 2 zamki wielozastawkowe,  elektroniczne systemy sygnalizacyjno – alarmowe zainstalowane w lokalu z ubezpieczonym mieniem, alarmujące służby patrolowe z całodobową ochroną, dozór wewnętrz </t>
  </si>
  <si>
    <t>Dom nauczyciela</t>
  </si>
  <si>
    <t>Tablica interaktywna</t>
  </si>
  <si>
    <t>Kotły wodne</t>
  </si>
  <si>
    <t>Budynek gospodarczy (nieużytkowany)</t>
  </si>
  <si>
    <t>Zgodnie z przepisami o ochronie przeciwpożarowej, 6 gaśnic lub agregatów oraz sprawne urządzenie odgromowe w budynku szkoły</t>
  </si>
  <si>
    <t>Co najmniej 2 zamki wielozastawkowe w każdych drzwiach zewnętrznych, alarm tylko na miejscu - budynek szkoły</t>
  </si>
  <si>
    <t>dobudowa Sali lekcyjnej, pokoju nauczycielskiego, sztani i łazienek 1986, połoga z nowych desek w Sali lekcyjnej n aparterze i na dolnym korytarzu-2001 r, pnale podłogowe w Sali inrmatycznej i gabineci edyrektora 2003 r., wymian stolark okiennej w 2005 r., wymiana blach na dobudowanje czesci, przedłuzenie dachu o malowanie na starej szęći, wymina rynien - 2006 r.; wymiana drzwi wejściowych głównych - 2017 r.; wymiana drzwi wejściowych od strony szatni - 2020 r.; malowanie elewacji - 2017 r.</t>
  </si>
  <si>
    <t>biały kamień, cegła</t>
  </si>
  <si>
    <t>biała cegła</t>
  </si>
  <si>
    <t>1963/2007/2011</t>
  </si>
  <si>
    <t>Budynek Szkoły  Wola Trzydnicka 52a</t>
  </si>
  <si>
    <t>Budynek szkoły Trzydnik Duży 72</t>
  </si>
  <si>
    <t>cegła palona</t>
  </si>
  <si>
    <t>belki betonowe</t>
  </si>
  <si>
    <t>papa asfaltowe</t>
  </si>
  <si>
    <t>Łącznik hali</t>
  </si>
  <si>
    <t>Hala sportowa</t>
  </si>
  <si>
    <t>cegła suporex</t>
  </si>
  <si>
    <t>blacha, krokiew drewniana</t>
  </si>
  <si>
    <t>słupy stalowe okładane blachą</t>
  </si>
  <si>
    <t>stalowy</t>
  </si>
  <si>
    <t>gont bitumiczny</t>
  </si>
  <si>
    <t>Zgodnie z przepisami o ochronie przeciwpożarowej, wszystkie obiekty posiadają sprawne urządzenia odgromowe</t>
  </si>
  <si>
    <t>Budynek szkoły Wola Trzydnicka - 6 gaśnic lub agregatów, 1 hydrant zewnętrzny, 2 hydranty wewnętrzne, Budynek szkoły Trzydnik Duży - 7 gaśnic lub agregatów, 2 hydranty wewnętrzne, Łącznik hali - 2 gaśnice lub agregaty, 1 hydrant wewnętrzny, Hala sportowa - 9 gaśnic lub agregatów, 1 hydrant wewnętrzny</t>
  </si>
  <si>
    <t>Czynne elektroniczne systemy sygnalizacyjno – alarmowe zainstalowane w lokalu z ubezpieczonym mieniem, alarmujące służby patrolowe z całodobową ochroną we wszytkich obiektach</t>
  </si>
  <si>
    <t>Zgodnie z przepisami o ochronie przeciwpożarowej, 4 gaśnic, hydranty zewnętrzne, ponadto obiekt posiada sprawne urządzenia odgromowe, budynek gospodarczy - hydranty zewnętrzne</t>
  </si>
  <si>
    <t xml:space="preserve">mało danych w ankiecie </t>
  </si>
  <si>
    <t>5.  Szkoła Podstawowa w Łychowie Gościeradowskim</t>
  </si>
  <si>
    <t>6.  Szkoła Podstawowa w Rzeczycy Księżej</t>
  </si>
  <si>
    <t xml:space="preserve">7. Zespół Szkolno - Przedszkolny w Olbięcinie </t>
  </si>
  <si>
    <r>
      <t xml:space="preserve">8. </t>
    </r>
    <r>
      <rPr>
        <b/>
        <u/>
        <sz val="10"/>
        <rFont val="Times New Roman"/>
        <family val="1"/>
        <charset val="238"/>
      </rPr>
      <t>Zespół</t>
    </r>
    <r>
      <rPr>
        <b/>
        <sz val="10"/>
        <rFont val="Times New Roman"/>
        <family val="1"/>
        <charset val="238"/>
      </rPr>
      <t xml:space="preserve"> Szkolno - Przedszkolny w Rzeczycy Ziemiańskiej</t>
    </r>
  </si>
  <si>
    <t>9. Zespół Szkolno-Przedszkolny w Woli Trzydnickiej</t>
  </si>
  <si>
    <t>Sprzęt stacjonarny*</t>
  </si>
  <si>
    <t>Tablice multimedialne z oprogramowaniem i projektorami*</t>
  </si>
  <si>
    <t>Kserokopiarki i urządzenia wielofunkcyjne*</t>
  </si>
  <si>
    <t>Centrale telefoniczne, faxy*</t>
  </si>
  <si>
    <t>Monitoring, instalacja alarmowa*</t>
  </si>
  <si>
    <t>Sprzęt przenośny*</t>
  </si>
  <si>
    <t>Sprzet muzyczny ( w tym nagłośnienie, mikrofony, itd.)*</t>
  </si>
  <si>
    <t>*bez podziałau na lata</t>
  </si>
  <si>
    <t>Brak majatku na sumy stałe</t>
  </si>
  <si>
    <t>01.01.2021 31.12.2023</t>
  </si>
  <si>
    <t>21.10.2021 20.10.2024</t>
  </si>
  <si>
    <t>22.11.2021 21.11.2024</t>
  </si>
  <si>
    <t>YV2T0Y1B7LZ128186</t>
  </si>
  <si>
    <t>YV2T0Y1BXKZ127810</t>
  </si>
  <si>
    <t>Budynek Przedszkola w Trzydniku Dużym - nieużytkowany</t>
  </si>
  <si>
    <t>Suma Ubezpieczenia w obecnym szacowaniu</t>
  </si>
  <si>
    <t>Dom nauczyciela Trzydnik Duzy 1/4 budynku 1 lokal</t>
  </si>
  <si>
    <t>pożarniczy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</si>
</sst>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#,##0.00\ [$zł-415];[Red]\-#,##0.00\ [$zł-415]"/>
    <numFmt numFmtId="167" formatCode="_-* #,##0.00&quot; zł&quot;_-;\-* #,##0.00&quot; zł&quot;_-;_-* \-??&quot; zł&quot;_-;_-@_-"/>
    <numFmt numFmtId="168" formatCode="#,##0.00\ &quot;zł&quot;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</font>
    <font>
      <b/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20" borderId="1" applyNumberFormat="0" applyAlignment="0" applyProtection="0"/>
    <xf numFmtId="9" fontId="2" fillId="0" borderId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0" fontId="19" fillId="3" borderId="0" applyNumberFormat="0" applyBorder="0" applyAlignment="0" applyProtection="0"/>
  </cellStyleXfs>
  <cellXfs count="387">
    <xf numFmtId="0" fontId="0" fillId="0" borderId="0" xfId="0"/>
    <xf numFmtId="0" fontId="20" fillId="0" borderId="0" xfId="0" applyFont="1"/>
    <xf numFmtId="0" fontId="23" fillId="0" borderId="0" xfId="0" applyFont="1"/>
    <xf numFmtId="49" fontId="23" fillId="0" borderId="0" xfId="0" applyNumberFormat="1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49" fontId="27" fillId="0" borderId="0" xfId="0" applyNumberFormat="1" applyFont="1" applyAlignment="1">
      <alignment horizontal="left"/>
    </xf>
    <xf numFmtId="0" fontId="27" fillId="0" borderId="0" xfId="0" applyFont="1"/>
    <xf numFmtId="44" fontId="27" fillId="0" borderId="0" xfId="43" applyFont="1"/>
    <xf numFmtId="0" fontId="28" fillId="0" borderId="0" xfId="0" applyFont="1" applyAlignment="1">
      <alignment wrapText="1"/>
    </xf>
    <xf numFmtId="1" fontId="24" fillId="0" borderId="26" xfId="35" applyNumberFormat="1" applyFont="1" applyFill="1" applyBorder="1" applyAlignment="1">
      <alignment horizontal="center" wrapText="1"/>
    </xf>
    <xf numFmtId="0" fontId="24" fillId="0" borderId="26" xfId="35" applyFont="1" applyFill="1" applyBorder="1" applyAlignment="1">
      <alignment horizontal="center" wrapText="1"/>
    </xf>
    <xf numFmtId="1" fontId="24" fillId="0" borderId="10" xfId="35" applyNumberFormat="1" applyFont="1" applyFill="1" applyBorder="1" applyAlignment="1">
      <alignment horizontal="center" wrapText="1"/>
    </xf>
    <xf numFmtId="0" fontId="24" fillId="0" borderId="10" xfId="35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29" borderId="14" xfId="35" applyFont="1" applyFill="1" applyBorder="1" applyAlignment="1">
      <alignment horizontal="center" wrapText="1"/>
    </xf>
    <xf numFmtId="165" fontId="24" fillId="29" borderId="14" xfId="35" applyNumberFormat="1" applyFont="1" applyFill="1" applyBorder="1" applyAlignment="1">
      <alignment horizontal="center" wrapText="1"/>
    </xf>
    <xf numFmtId="165" fontId="24" fillId="24" borderId="26" xfId="35" applyNumberFormat="1" applyFont="1" applyFill="1" applyBorder="1" applyAlignment="1">
      <alignment wrapText="1"/>
    </xf>
    <xf numFmtId="165" fontId="24" fillId="24" borderId="26" xfId="35" applyNumberFormat="1" applyFont="1" applyFill="1" applyBorder="1" applyAlignment="1">
      <alignment horizontal="center" wrapText="1"/>
    </xf>
    <xf numFmtId="0" fontId="24" fillId="24" borderId="26" xfId="35" applyFont="1" applyFill="1" applyBorder="1" applyAlignment="1">
      <alignment horizontal="center" wrapText="1"/>
    </xf>
    <xf numFmtId="0" fontId="24" fillId="24" borderId="26" xfId="35" applyNumberFormat="1" applyFont="1" applyFill="1" applyBorder="1" applyAlignment="1">
      <alignment wrapText="1"/>
    </xf>
    <xf numFmtId="166" fontId="24" fillId="24" borderId="26" xfId="35" applyNumberFormat="1" applyFont="1" applyFill="1" applyBorder="1" applyAlignment="1">
      <alignment wrapText="1"/>
    </xf>
    <xf numFmtId="0" fontId="24" fillId="0" borderId="10" xfId="0" applyFont="1" applyBorder="1" applyAlignment="1">
      <alignment wrapText="1"/>
    </xf>
    <xf numFmtId="165" fontId="24" fillId="24" borderId="10" xfId="35" applyNumberFormat="1" applyFont="1" applyFill="1" applyBorder="1" applyAlignment="1">
      <alignment wrapText="1"/>
    </xf>
    <xf numFmtId="165" fontId="24" fillId="24" borderId="10" xfId="35" applyNumberFormat="1" applyFont="1" applyFill="1" applyBorder="1" applyAlignment="1">
      <alignment horizontal="center" wrapText="1"/>
    </xf>
    <xf numFmtId="0" fontId="24" fillId="24" borderId="10" xfId="35" applyFont="1" applyFill="1" applyBorder="1" applyAlignment="1">
      <alignment horizontal="center" wrapText="1"/>
    </xf>
    <xf numFmtId="0" fontId="24" fillId="24" borderId="10" xfId="35" applyNumberFormat="1" applyFont="1" applyFill="1" applyBorder="1" applyAlignment="1">
      <alignment wrapText="1"/>
    </xf>
    <xf numFmtId="166" fontId="24" fillId="24" borderId="10" xfId="35" applyNumberFormat="1" applyFont="1" applyFill="1" applyBorder="1" applyAlignment="1">
      <alignment wrapText="1"/>
    </xf>
    <xf numFmtId="0" fontId="24" fillId="24" borderId="15" xfId="35" applyFont="1" applyFill="1" applyBorder="1" applyAlignment="1">
      <alignment wrapText="1"/>
    </xf>
    <xf numFmtId="165" fontId="24" fillId="24" borderId="14" xfId="35" applyNumberFormat="1" applyFont="1" applyFill="1" applyBorder="1" applyAlignment="1">
      <alignment wrapText="1"/>
    </xf>
    <xf numFmtId="0" fontId="24" fillId="24" borderId="14" xfId="35" applyNumberFormat="1" applyFont="1" applyFill="1" applyBorder="1" applyAlignment="1">
      <alignment wrapText="1"/>
    </xf>
    <xf numFmtId="0" fontId="24" fillId="29" borderId="10" xfId="35" applyFont="1" applyFill="1" applyBorder="1" applyAlignment="1">
      <alignment horizontal="center" wrapText="1"/>
    </xf>
    <xf numFmtId="0" fontId="24" fillId="29" borderId="15" xfId="35" applyFont="1" applyFill="1" applyBorder="1" applyAlignment="1">
      <alignment wrapText="1"/>
    </xf>
    <xf numFmtId="0" fontId="24" fillId="29" borderId="16" xfId="35" applyFont="1" applyFill="1" applyBorder="1" applyAlignment="1">
      <alignment wrapText="1"/>
    </xf>
    <xf numFmtId="165" fontId="24" fillId="24" borderId="17" xfId="35" applyNumberFormat="1" applyFont="1" applyFill="1" applyBorder="1" applyAlignment="1">
      <alignment horizontal="center" wrapText="1"/>
    </xf>
    <xf numFmtId="0" fontId="24" fillId="24" borderId="17" xfId="35" applyFont="1" applyFill="1" applyBorder="1" applyAlignment="1">
      <alignment horizontal="center" wrapText="1"/>
    </xf>
    <xf numFmtId="166" fontId="24" fillId="24" borderId="17" xfId="35" applyNumberFormat="1" applyFont="1" applyFill="1" applyBorder="1" applyAlignment="1">
      <alignment wrapText="1"/>
    </xf>
    <xf numFmtId="0" fontId="24" fillId="29" borderId="17" xfId="35" applyFont="1" applyFill="1" applyBorder="1" applyAlignment="1">
      <alignment horizontal="center" wrapText="1"/>
    </xf>
    <xf numFmtId="0" fontId="24" fillId="0" borderId="33" xfId="0" applyFont="1" applyBorder="1" applyAlignment="1">
      <alignment wrapText="1"/>
    </xf>
    <xf numFmtId="165" fontId="24" fillId="24" borderId="14" xfId="35" applyNumberFormat="1" applyFont="1" applyFill="1" applyBorder="1" applyAlignment="1">
      <alignment horizontal="center" wrapText="1"/>
    </xf>
    <xf numFmtId="0" fontId="24" fillId="24" borderId="15" xfId="35" applyFont="1" applyFill="1" applyBorder="1" applyAlignment="1">
      <alignment horizontal="center" wrapText="1"/>
    </xf>
    <xf numFmtId="0" fontId="22" fillId="0" borderId="33" xfId="35" applyFont="1" applyBorder="1" applyAlignment="1">
      <alignment horizontal="left"/>
    </xf>
    <xf numFmtId="44" fontId="22" fillId="0" borderId="15" xfId="43" applyFont="1" applyFill="1" applyBorder="1" applyAlignment="1" applyProtection="1">
      <alignment horizontal="right" wrapText="1"/>
      <protection locked="0"/>
    </xf>
    <xf numFmtId="44" fontId="21" fillId="29" borderId="59" xfId="43" applyFont="1" applyFill="1" applyBorder="1" applyAlignment="1">
      <alignment vertical="top"/>
    </xf>
    <xf numFmtId="0" fontId="22" fillId="0" borderId="63" xfId="35" applyFont="1" applyBorder="1" applyAlignment="1">
      <alignment horizontal="left"/>
    </xf>
    <xf numFmtId="0" fontId="21" fillId="20" borderId="73" xfId="35" applyFont="1" applyFill="1" applyBorder="1" applyAlignment="1">
      <alignment horizontal="center" vertical="center"/>
    </xf>
    <xf numFmtId="165" fontId="24" fillId="0" borderId="10" xfId="35" applyNumberFormat="1" applyFont="1" applyFill="1" applyBorder="1" applyAlignment="1">
      <alignment wrapText="1"/>
    </xf>
    <xf numFmtId="165" fontId="24" fillId="24" borderId="17" xfId="35" applyNumberFormat="1" applyFont="1" applyFill="1" applyBorder="1" applyAlignment="1">
      <alignment horizontal="right" wrapText="1"/>
    </xf>
    <xf numFmtId="49" fontId="22" fillId="0" borderId="0" xfId="0" applyNumberFormat="1" applyFont="1" applyAlignment="1">
      <alignment horizontal="left"/>
    </xf>
    <xf numFmtId="0" fontId="22" fillId="0" borderId="0" xfId="0" applyFont="1"/>
    <xf numFmtId="165" fontId="24" fillId="29" borderId="10" xfId="35" applyNumberFormat="1" applyFont="1" applyFill="1" applyBorder="1" applyAlignment="1">
      <alignment horizontal="center" wrapText="1"/>
    </xf>
    <xf numFmtId="165" fontId="24" fillId="29" borderId="17" xfId="35" applyNumberFormat="1" applyFont="1" applyFill="1" applyBorder="1" applyAlignment="1">
      <alignment horizontal="center" wrapText="1"/>
    </xf>
    <xf numFmtId="0" fontId="24" fillId="29" borderId="15" xfId="35" applyFont="1" applyFill="1" applyBorder="1" applyAlignment="1">
      <alignment horizontal="center" wrapText="1"/>
    </xf>
    <xf numFmtId="0" fontId="25" fillId="26" borderId="10" xfId="35" applyFont="1" applyFill="1" applyBorder="1" applyAlignment="1">
      <alignment horizontal="center" wrapText="1"/>
    </xf>
    <xf numFmtId="165" fontId="25" fillId="26" borderId="10" xfId="35" applyNumberFormat="1" applyFont="1" applyFill="1" applyBorder="1" applyAlignment="1">
      <alignment horizontal="center" wrapText="1"/>
    </xf>
    <xf numFmtId="165" fontId="24" fillId="0" borderId="10" xfId="35" applyNumberFormat="1" applyFont="1" applyFill="1" applyBorder="1" applyAlignment="1">
      <alignment horizontal="center" wrapText="1"/>
    </xf>
    <xf numFmtId="0" fontId="24" fillId="0" borderId="10" xfId="35" applyNumberFormat="1" applyFont="1" applyFill="1" applyBorder="1" applyAlignment="1">
      <alignment wrapText="1"/>
    </xf>
    <xf numFmtId="166" fontId="24" fillId="0" borderId="10" xfId="35" applyNumberFormat="1" applyFont="1" applyFill="1" applyBorder="1" applyAlignment="1">
      <alignment wrapText="1"/>
    </xf>
    <xf numFmtId="0" fontId="24" fillId="0" borderId="33" xfId="35" applyFont="1" applyFill="1" applyBorder="1" applyAlignment="1">
      <alignment horizontal="left" wrapText="1"/>
    </xf>
    <xf numFmtId="0" fontId="24" fillId="24" borderId="33" xfId="35" applyFont="1" applyFill="1" applyBorder="1" applyAlignment="1">
      <alignment wrapText="1"/>
    </xf>
    <xf numFmtId="0" fontId="24" fillId="24" borderId="44" xfId="35" applyFont="1" applyFill="1" applyBorder="1" applyAlignment="1">
      <alignment wrapText="1"/>
    </xf>
    <xf numFmtId="0" fontId="24" fillId="29" borderId="31" xfId="35" applyFont="1" applyFill="1" applyBorder="1" applyAlignment="1">
      <alignment horizontal="center" wrapText="1"/>
    </xf>
    <xf numFmtId="0" fontId="24" fillId="24" borderId="28" xfId="35" applyFont="1" applyFill="1" applyBorder="1" applyAlignment="1">
      <alignment wrapText="1"/>
    </xf>
    <xf numFmtId="0" fontId="24" fillId="0" borderId="30" xfId="0" applyFont="1" applyBorder="1" applyAlignment="1">
      <alignment wrapText="1"/>
    </xf>
    <xf numFmtId="168" fontId="24" fillId="24" borderId="14" xfId="35" applyNumberFormat="1" applyFont="1" applyFill="1" applyBorder="1" applyAlignment="1">
      <alignment horizontal="center" wrapText="1"/>
    </xf>
    <xf numFmtId="0" fontId="24" fillId="0" borderId="28" xfId="35" applyFont="1" applyFill="1" applyBorder="1" applyAlignment="1">
      <alignment horizontal="left" wrapText="1"/>
    </xf>
    <xf numFmtId="165" fontId="24" fillId="0" borderId="26" xfId="35" applyNumberFormat="1" applyFont="1" applyFill="1" applyBorder="1" applyAlignment="1">
      <alignment wrapText="1"/>
    </xf>
    <xf numFmtId="165" fontId="24" fillId="0" borderId="26" xfId="35" applyNumberFormat="1" applyFont="1" applyFill="1" applyBorder="1" applyAlignment="1">
      <alignment horizontal="center" wrapText="1"/>
    </xf>
    <xf numFmtId="0" fontId="24" fillId="0" borderId="26" xfId="35" applyNumberFormat="1" applyFont="1" applyFill="1" applyBorder="1" applyAlignment="1">
      <alignment wrapText="1"/>
    </xf>
    <xf numFmtId="166" fontId="24" fillId="0" borderId="26" xfId="35" applyNumberFormat="1" applyFont="1" applyFill="1" applyBorder="1" applyAlignment="1">
      <alignment wrapText="1"/>
    </xf>
    <xf numFmtId="0" fontId="24" fillId="0" borderId="27" xfId="35" applyFont="1" applyFill="1" applyBorder="1" applyAlignment="1">
      <alignment horizontal="center" wrapText="1"/>
    </xf>
    <xf numFmtId="44" fontId="23" fillId="24" borderId="0" xfId="0" applyNumberFormat="1" applyFont="1" applyFill="1" applyAlignment="1">
      <alignment horizontal="right"/>
    </xf>
    <xf numFmtId="44" fontId="23" fillId="25" borderId="0" xfId="0" applyNumberFormat="1" applyFont="1" applyFill="1" applyAlignment="1">
      <alignment horizontal="right"/>
    </xf>
    <xf numFmtId="0" fontId="29" fillId="0" borderId="0" xfId="0" applyFont="1" applyAlignment="1">
      <alignment wrapText="1"/>
    </xf>
    <xf numFmtId="165" fontId="29" fillId="24" borderId="10" xfId="35" applyNumberFormat="1" applyFont="1" applyFill="1" applyBorder="1" applyAlignment="1">
      <alignment horizontal="center" wrapText="1"/>
    </xf>
    <xf numFmtId="0" fontId="29" fillId="24" borderId="10" xfId="35" applyFont="1" applyFill="1" applyBorder="1" applyAlignment="1">
      <alignment horizontal="center" wrapText="1"/>
    </xf>
    <xf numFmtId="0" fontId="29" fillId="29" borderId="10" xfId="35" applyFont="1" applyFill="1" applyBorder="1" applyAlignment="1">
      <alignment horizontal="center" wrapText="1"/>
    </xf>
    <xf numFmtId="165" fontId="29" fillId="24" borderId="17" xfId="35" applyNumberFormat="1" applyFont="1" applyFill="1" applyBorder="1" applyAlignment="1">
      <alignment horizontal="center" wrapText="1"/>
    </xf>
    <xf numFmtId="0" fontId="29" fillId="24" borderId="17" xfId="35" applyFont="1" applyFill="1" applyBorder="1" applyAlignment="1">
      <alignment horizontal="center" wrapText="1"/>
    </xf>
    <xf numFmtId="0" fontId="29" fillId="24" borderId="17" xfId="35" applyNumberFormat="1" applyFont="1" applyFill="1" applyBorder="1" applyAlignment="1">
      <alignment horizontal="center" wrapText="1"/>
    </xf>
    <xf numFmtId="0" fontId="29" fillId="29" borderId="17" xfId="35" applyFont="1" applyFill="1" applyBorder="1" applyAlignment="1">
      <alignment horizontal="center" wrapText="1"/>
    </xf>
    <xf numFmtId="165" fontId="29" fillId="29" borderId="17" xfId="35" applyNumberFormat="1" applyFont="1" applyFill="1" applyBorder="1" applyAlignment="1">
      <alignment horizontal="center" wrapText="1"/>
    </xf>
    <xf numFmtId="0" fontId="29" fillId="29" borderId="31" xfId="35" applyFont="1" applyFill="1" applyBorder="1" applyAlignment="1">
      <alignment horizontal="center" wrapText="1"/>
    </xf>
    <xf numFmtId="0" fontId="29" fillId="0" borderId="15" xfId="35" applyFont="1" applyFill="1" applyBorder="1" applyAlignment="1">
      <alignment horizontal="center" wrapText="1"/>
    </xf>
    <xf numFmtId="0" fontId="29" fillId="29" borderId="14" xfId="35" applyFont="1" applyFill="1" applyBorder="1" applyAlignment="1">
      <alignment horizontal="center" wrapText="1"/>
    </xf>
    <xf numFmtId="0" fontId="29" fillId="29" borderId="16" xfId="35" applyFont="1" applyFill="1" applyBorder="1" applyAlignment="1">
      <alignment horizontal="center" wrapText="1"/>
    </xf>
    <xf numFmtId="0" fontId="29" fillId="24" borderId="15" xfId="35" applyFont="1" applyFill="1" applyBorder="1" applyAlignment="1">
      <alignment wrapText="1"/>
    </xf>
    <xf numFmtId="0" fontId="29" fillId="29" borderId="15" xfId="35" applyFont="1" applyFill="1" applyBorder="1" applyAlignment="1">
      <alignment wrapText="1"/>
    </xf>
    <xf numFmtId="49" fontId="32" fillId="0" borderId="0" xfId="0" applyNumberFormat="1" applyFont="1" applyAlignment="1">
      <alignment horizontal="left"/>
    </xf>
    <xf numFmtId="0" fontId="32" fillId="0" borderId="0" xfId="0" applyFont="1"/>
    <xf numFmtId="49" fontId="32" fillId="0" borderId="0" xfId="0" applyNumberFormat="1" applyFont="1" applyFill="1" applyAlignment="1">
      <alignment horizontal="left"/>
    </xf>
    <xf numFmtId="0" fontId="32" fillId="0" borderId="0" xfId="0" applyFont="1" applyFill="1"/>
    <xf numFmtId="44" fontId="32" fillId="0" borderId="0" xfId="43" applyFont="1"/>
    <xf numFmtId="0" fontId="29" fillId="0" borderId="0" xfId="0" applyFont="1"/>
    <xf numFmtId="49" fontId="29" fillId="0" borderId="0" xfId="0" applyNumberFormat="1" applyFont="1"/>
    <xf numFmtId="44" fontId="29" fillId="0" borderId="0" xfId="0" applyNumberFormat="1" applyFont="1" applyFill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10" fontId="34" fillId="0" borderId="0" xfId="0" applyNumberFormat="1" applyFont="1" applyAlignment="1">
      <alignment horizontal="center"/>
    </xf>
    <xf numFmtId="0" fontId="31" fillId="0" borderId="0" xfId="0" applyFont="1"/>
    <xf numFmtId="0" fontId="33" fillId="0" borderId="3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4" fillId="24" borderId="24" xfId="35" applyFont="1" applyFill="1" applyBorder="1" applyAlignment="1">
      <alignment horizontal="center" wrapText="1"/>
    </xf>
    <xf numFmtId="0" fontId="21" fillId="28" borderId="39" xfId="0" applyFont="1" applyFill="1" applyBorder="1" applyAlignment="1">
      <alignment horizontal="center" vertical="center" wrapText="1"/>
    </xf>
    <xf numFmtId="0" fontId="21" fillId="28" borderId="40" xfId="0" applyFont="1" applyFill="1" applyBorder="1" applyAlignment="1">
      <alignment horizontal="center" vertical="center" wrapText="1"/>
    </xf>
    <xf numFmtId="0" fontId="21" fillId="28" borderId="42" xfId="0" applyFont="1" applyFill="1" applyBorder="1" applyAlignment="1">
      <alignment horizontal="center" vertical="center" wrapText="1"/>
    </xf>
    <xf numFmtId="0" fontId="35" fillId="0" borderId="0" xfId="0" applyFont="1"/>
    <xf numFmtId="165" fontId="24" fillId="24" borderId="17" xfId="35" applyNumberFormat="1" applyFont="1" applyFill="1" applyBorder="1" applyAlignment="1">
      <alignment wrapText="1"/>
    </xf>
    <xf numFmtId="0" fontId="24" fillId="24" borderId="17" xfId="35" applyNumberFormat="1" applyFont="1" applyFill="1" applyBorder="1" applyAlignment="1">
      <alignment wrapText="1"/>
    </xf>
    <xf numFmtId="0" fontId="22" fillId="0" borderId="0" xfId="0" applyFont="1" applyFill="1"/>
    <xf numFmtId="44" fontId="22" fillId="0" borderId="0" xfId="0" applyNumberFormat="1" applyFont="1"/>
    <xf numFmtId="44" fontId="21" fillId="20" borderId="81" xfId="43" applyFont="1" applyFill="1" applyBorder="1" applyAlignment="1" applyProtection="1">
      <alignment horizontal="center" vertical="center"/>
    </xf>
    <xf numFmtId="0" fontId="21" fillId="28" borderId="47" xfId="0" applyFont="1" applyFill="1" applyBorder="1" applyAlignment="1">
      <alignment horizontal="center" vertical="center" wrapText="1"/>
    </xf>
    <xf numFmtId="0" fontId="21" fillId="28" borderId="75" xfId="0" applyFont="1" applyFill="1" applyBorder="1" applyAlignment="1">
      <alignment horizontal="center" vertical="center" wrapText="1"/>
    </xf>
    <xf numFmtId="44" fontId="21" fillId="28" borderId="40" xfId="0" applyNumberFormat="1" applyFont="1" applyFill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4" fillId="0" borderId="82" xfId="0" applyFont="1" applyBorder="1" applyAlignment="1">
      <alignment wrapText="1"/>
    </xf>
    <xf numFmtId="165" fontId="24" fillId="24" borderId="23" xfId="35" applyNumberFormat="1" applyFont="1" applyFill="1" applyBorder="1" applyAlignment="1">
      <alignment horizontal="center" wrapText="1"/>
    </xf>
    <xf numFmtId="0" fontId="24" fillId="0" borderId="30" xfId="35" applyFont="1" applyFill="1" applyBorder="1" applyAlignment="1">
      <alignment horizontal="left" wrapText="1"/>
    </xf>
    <xf numFmtId="165" fontId="24" fillId="0" borderId="17" xfId="35" applyNumberFormat="1" applyFont="1" applyFill="1" applyBorder="1" applyAlignment="1">
      <alignment wrapText="1"/>
    </xf>
    <xf numFmtId="165" fontId="24" fillId="0" borderId="17" xfId="35" applyNumberFormat="1" applyFont="1" applyFill="1" applyBorder="1" applyAlignment="1">
      <alignment horizontal="center" wrapText="1"/>
    </xf>
    <xf numFmtId="1" fontId="24" fillId="0" borderId="17" xfId="35" applyNumberFormat="1" applyFont="1" applyFill="1" applyBorder="1" applyAlignment="1">
      <alignment horizontal="center" wrapText="1"/>
    </xf>
    <xf numFmtId="0" fontId="24" fillId="0" borderId="17" xfId="35" applyFont="1" applyFill="1" applyBorder="1" applyAlignment="1">
      <alignment horizontal="center" wrapText="1"/>
    </xf>
    <xf numFmtId="0" fontId="24" fillId="0" borderId="17" xfId="35" applyNumberFormat="1" applyFont="1" applyFill="1" applyBorder="1" applyAlignment="1">
      <alignment wrapText="1"/>
    </xf>
    <xf numFmtId="166" fontId="24" fillId="0" borderId="17" xfId="35" applyNumberFormat="1" applyFont="1" applyFill="1" applyBorder="1" applyAlignment="1">
      <alignment wrapText="1"/>
    </xf>
    <xf numFmtId="0" fontId="21" fillId="0" borderId="33" xfId="0" applyFont="1" applyBorder="1" applyAlignment="1">
      <alignment horizontal="center" vertical="center" wrapText="1"/>
    </xf>
    <xf numFmtId="0" fontId="24" fillId="24" borderId="30" xfId="35" applyFont="1" applyFill="1" applyBorder="1" applyAlignment="1">
      <alignment wrapText="1"/>
    </xf>
    <xf numFmtId="0" fontId="24" fillId="29" borderId="31" xfId="35" applyFont="1" applyFill="1" applyBorder="1" applyAlignment="1">
      <alignment wrapText="1"/>
    </xf>
    <xf numFmtId="44" fontId="22" fillId="0" borderId="0" xfId="43" applyFont="1"/>
    <xf numFmtId="44" fontId="24" fillId="0" borderId="14" xfId="43" applyFont="1" applyBorder="1" applyAlignment="1">
      <alignment wrapText="1"/>
    </xf>
    <xf numFmtId="0" fontId="22" fillId="0" borderId="15" xfId="0" applyFont="1" applyBorder="1"/>
    <xf numFmtId="44" fontId="22" fillId="0" borderId="15" xfId="0" applyNumberFormat="1" applyFont="1" applyBorder="1"/>
    <xf numFmtId="44" fontId="22" fillId="0" borderId="31" xfId="43" applyFont="1" applyFill="1" applyBorder="1" applyAlignment="1" applyProtection="1">
      <alignment horizontal="right" wrapText="1"/>
      <protection locked="0"/>
    </xf>
    <xf numFmtId="44" fontId="22" fillId="0" borderId="15" xfId="43" applyFont="1" applyBorder="1" applyAlignment="1">
      <alignment horizontal="right"/>
    </xf>
    <xf numFmtId="44" fontId="22" fillId="0" borderId="31" xfId="43" applyFont="1" applyBorder="1" applyAlignment="1">
      <alignment horizontal="right"/>
    </xf>
    <xf numFmtId="44" fontId="21" fillId="30" borderId="38" xfId="43" applyFont="1" applyFill="1" applyBorder="1" applyAlignment="1">
      <alignment vertical="top"/>
    </xf>
    <xf numFmtId="0" fontId="24" fillId="27" borderId="0" xfId="0" applyFont="1" applyFill="1" applyAlignment="1">
      <alignment wrapText="1"/>
    </xf>
    <xf numFmtId="165" fontId="24" fillId="27" borderId="10" xfId="35" applyNumberFormat="1" applyFont="1" applyFill="1" applyBorder="1" applyAlignment="1">
      <alignment wrapText="1"/>
    </xf>
    <xf numFmtId="165" fontId="24" fillId="0" borderId="0" xfId="0" applyNumberFormat="1" applyFont="1" applyAlignment="1">
      <alignment wrapText="1"/>
    </xf>
    <xf numFmtId="0" fontId="24" fillId="24" borderId="28" xfId="35" applyFont="1" applyFill="1" applyBorder="1" applyAlignment="1">
      <alignment horizontal="left" wrapText="1"/>
    </xf>
    <xf numFmtId="0" fontId="24" fillId="24" borderId="33" xfId="35" applyFont="1" applyFill="1" applyBorder="1" applyAlignment="1">
      <alignment horizontal="left" wrapText="1"/>
    </xf>
    <xf numFmtId="0" fontId="24" fillId="24" borderId="27" xfId="35" applyFont="1" applyFill="1" applyBorder="1" applyAlignment="1">
      <alignment horizontal="center" wrapText="1"/>
    </xf>
    <xf numFmtId="0" fontId="24" fillId="24" borderId="30" xfId="35" applyFont="1" applyFill="1" applyBorder="1" applyAlignment="1">
      <alignment horizontal="left" wrapText="1"/>
    </xf>
    <xf numFmtId="0" fontId="24" fillId="27" borderId="30" xfId="35" applyFont="1" applyFill="1" applyBorder="1" applyAlignment="1">
      <alignment horizontal="left" wrapText="1"/>
    </xf>
    <xf numFmtId="165" fontId="24" fillId="27" borderId="17" xfId="35" applyNumberFormat="1" applyFont="1" applyFill="1" applyBorder="1" applyAlignment="1">
      <alignment wrapText="1"/>
    </xf>
    <xf numFmtId="165" fontId="24" fillId="27" borderId="17" xfId="35" applyNumberFormat="1" applyFont="1" applyFill="1" applyBorder="1" applyAlignment="1">
      <alignment horizontal="center" wrapText="1"/>
    </xf>
    <xf numFmtId="0" fontId="24" fillId="27" borderId="17" xfId="35" applyFont="1" applyFill="1" applyBorder="1" applyAlignment="1">
      <alignment horizontal="center" wrapText="1"/>
    </xf>
    <xf numFmtId="0" fontId="24" fillId="27" borderId="17" xfId="35" applyNumberFormat="1" applyFont="1" applyFill="1" applyBorder="1" applyAlignment="1">
      <alignment wrapText="1"/>
    </xf>
    <xf numFmtId="166" fontId="24" fillId="27" borderId="17" xfId="35" applyNumberFormat="1" applyFont="1" applyFill="1" applyBorder="1" applyAlignment="1">
      <alignment wrapText="1"/>
    </xf>
    <xf numFmtId="0" fontId="24" fillId="27" borderId="31" xfId="35" applyFont="1" applyFill="1" applyBorder="1" applyAlignment="1">
      <alignment horizontal="center" wrapText="1"/>
    </xf>
    <xf numFmtId="0" fontId="29" fillId="27" borderId="0" xfId="0" applyFont="1" applyFill="1" applyAlignment="1">
      <alignment wrapText="1"/>
    </xf>
    <xf numFmtId="44" fontId="22" fillId="29" borderId="27" xfId="43" applyFont="1" applyFill="1" applyBorder="1" applyAlignment="1">
      <alignment horizontal="centerContinuous"/>
    </xf>
    <xf numFmtId="164" fontId="22" fillId="0" borderId="0" xfId="0" applyNumberFormat="1" applyFont="1"/>
    <xf numFmtId="0" fontId="24" fillId="24" borderId="44" xfId="35" applyFont="1" applyFill="1" applyBorder="1" applyAlignment="1">
      <alignment horizontal="left" wrapText="1"/>
    </xf>
    <xf numFmtId="165" fontId="24" fillId="0" borderId="14" xfId="0" applyNumberFormat="1" applyFont="1" applyBorder="1" applyAlignment="1">
      <alignment wrapText="1"/>
    </xf>
    <xf numFmtId="0" fontId="24" fillId="24" borderId="14" xfId="35" applyFont="1" applyFill="1" applyBorder="1" applyAlignment="1">
      <alignment horizontal="center" wrapText="1"/>
    </xf>
    <xf numFmtId="165" fontId="24" fillId="0" borderId="17" xfId="0" applyNumberFormat="1" applyFont="1" applyBorder="1" applyAlignment="1">
      <alignment wrapText="1"/>
    </xf>
    <xf numFmtId="0" fontId="22" fillId="0" borderId="33" xfId="0" applyFont="1" applyFill="1" applyBorder="1" applyAlignment="1">
      <alignment wrapText="1"/>
    </xf>
    <xf numFmtId="0" fontId="22" fillId="0" borderId="33" xfId="35" applyFont="1" applyBorder="1" applyAlignment="1"/>
    <xf numFmtId="44" fontId="22" fillId="0" borderId="15" xfId="43" applyFont="1" applyBorder="1"/>
    <xf numFmtId="0" fontId="25" fillId="0" borderId="39" xfId="35" applyFont="1" applyFill="1" applyBorder="1" applyAlignment="1">
      <alignment horizontal="center" vertical="center" wrapText="1"/>
    </xf>
    <xf numFmtId="165" fontId="24" fillId="27" borderId="40" xfId="35" applyNumberFormat="1" applyFont="1" applyFill="1" applyBorder="1" applyAlignment="1">
      <alignment horizontal="centerContinuous"/>
    </xf>
    <xf numFmtId="168" fontId="24" fillId="27" borderId="40" xfId="35" applyNumberFormat="1" applyFont="1" applyFill="1" applyBorder="1" applyAlignment="1">
      <alignment horizontal="centerContinuous"/>
    </xf>
    <xf numFmtId="0" fontId="24" fillId="27" borderId="40" xfId="35" applyFont="1" applyFill="1" applyBorder="1" applyAlignment="1">
      <alignment horizontal="centerContinuous"/>
    </xf>
    <xf numFmtId="0" fontId="24" fillId="27" borderId="40" xfId="35" applyNumberFormat="1" applyFont="1" applyFill="1" applyBorder="1" applyAlignment="1">
      <alignment horizontal="centerContinuous"/>
    </xf>
    <xf numFmtId="0" fontId="24" fillId="29" borderId="75" xfId="35" applyFont="1" applyFill="1" applyBorder="1" applyAlignment="1">
      <alignment horizontal="centerContinuous"/>
    </xf>
    <xf numFmtId="165" fontId="24" fillId="29" borderId="40" xfId="35" applyNumberFormat="1" applyFont="1" applyFill="1" applyBorder="1" applyAlignment="1">
      <alignment horizontal="centerContinuous"/>
    </xf>
    <xf numFmtId="0" fontId="24" fillId="29" borderId="40" xfId="35" applyFont="1" applyFill="1" applyBorder="1" applyAlignment="1">
      <alignment horizontal="centerContinuous"/>
    </xf>
    <xf numFmtId="0" fontId="24" fillId="29" borderId="42" xfId="35" applyFont="1" applyFill="1" applyBorder="1" applyAlignment="1">
      <alignment horizontal="centerContinuous"/>
    </xf>
    <xf numFmtId="0" fontId="24" fillId="0" borderId="75" xfId="35" applyFont="1" applyFill="1" applyBorder="1" applyAlignment="1">
      <alignment horizontal="left" wrapText="1"/>
    </xf>
    <xf numFmtId="0" fontId="25" fillId="0" borderId="42" xfId="35" applyFont="1" applyFill="1" applyBorder="1" applyAlignment="1">
      <alignment horizontal="center" vertical="center" wrapText="1"/>
    </xf>
    <xf numFmtId="165" fontId="24" fillId="27" borderId="40" xfId="35" applyNumberFormat="1" applyFont="1" applyFill="1" applyBorder="1" applyAlignment="1">
      <alignment horizontal="center"/>
    </xf>
    <xf numFmtId="0" fontId="21" fillId="29" borderId="83" xfId="35" applyFont="1" applyFill="1" applyBorder="1" applyAlignment="1"/>
    <xf numFmtId="0" fontId="22" fillId="0" borderId="37" xfId="35" applyFont="1" applyFill="1" applyBorder="1" applyAlignment="1">
      <alignment horizontal="left"/>
    </xf>
    <xf numFmtId="0" fontId="22" fillId="0" borderId="33" xfId="35" applyFont="1" applyFill="1" applyBorder="1" applyAlignment="1">
      <alignment horizontal="left"/>
    </xf>
    <xf numFmtId="0" fontId="22" fillId="0" borderId="44" xfId="35" applyFont="1" applyFill="1" applyBorder="1" applyAlignment="1">
      <alignment horizontal="left"/>
    </xf>
    <xf numFmtId="0" fontId="24" fillId="0" borderId="28" xfId="0" applyFont="1" applyBorder="1" applyAlignment="1">
      <alignment wrapText="1"/>
    </xf>
    <xf numFmtId="0" fontId="24" fillId="24" borderId="27" xfId="35" applyFont="1" applyFill="1" applyBorder="1" applyAlignment="1">
      <alignment wrapText="1"/>
    </xf>
    <xf numFmtId="0" fontId="29" fillId="29" borderId="31" xfId="35" applyFont="1" applyFill="1" applyBorder="1" applyAlignment="1">
      <alignment wrapText="1"/>
    </xf>
    <xf numFmtId="0" fontId="24" fillId="0" borderId="14" xfId="0" applyFont="1" applyBorder="1" applyAlignment="1">
      <alignment wrapText="1"/>
    </xf>
    <xf numFmtId="44" fontId="21" fillId="29" borderId="87" xfId="43" applyFont="1" applyFill="1" applyBorder="1" applyAlignment="1">
      <alignment horizontal="centerContinuous" vertical="top"/>
    </xf>
    <xf numFmtId="44" fontId="22" fillId="0" borderId="16" xfId="43" applyFont="1" applyBorder="1"/>
    <xf numFmtId="0" fontId="24" fillId="24" borderId="26" xfId="35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wrapText="1"/>
    </xf>
    <xf numFmtId="0" fontId="24" fillId="24" borderId="10" xfId="35" applyFont="1" applyFill="1" applyBorder="1" applyAlignment="1">
      <alignment horizontal="center" vertical="center" wrapText="1"/>
    </xf>
    <xf numFmtId="44" fontId="22" fillId="29" borderId="18" xfId="43" applyFont="1" applyFill="1" applyBorder="1"/>
    <xf numFmtId="0" fontId="24" fillId="29" borderId="17" xfId="35" applyNumberFormat="1" applyFont="1" applyFill="1" applyBorder="1" applyAlignment="1">
      <alignment wrapText="1"/>
    </xf>
    <xf numFmtId="165" fontId="24" fillId="29" borderId="17" xfId="35" applyNumberFormat="1" applyFont="1" applyFill="1" applyBorder="1" applyAlignment="1">
      <alignment wrapText="1"/>
    </xf>
    <xf numFmtId="0" fontId="24" fillId="27" borderId="10" xfId="35" applyFont="1" applyFill="1" applyBorder="1" applyAlignment="1">
      <alignment horizontal="center" vertical="center" wrapText="1"/>
    </xf>
    <xf numFmtId="0" fontId="24" fillId="27" borderId="10" xfId="35" applyFont="1" applyFill="1" applyBorder="1" applyAlignment="1">
      <alignment horizontal="center" wrapText="1"/>
    </xf>
    <xf numFmtId="0" fontId="24" fillId="27" borderId="10" xfId="35" applyNumberFormat="1" applyFont="1" applyFill="1" applyBorder="1" applyAlignment="1">
      <alignment wrapText="1"/>
    </xf>
    <xf numFmtId="166" fontId="24" fillId="27" borderId="10" xfId="35" applyNumberFormat="1" applyFont="1" applyFill="1" applyBorder="1" applyAlignment="1">
      <alignment wrapText="1"/>
    </xf>
    <xf numFmtId="0" fontId="24" fillId="27" borderId="89" xfId="35" applyFont="1" applyFill="1" applyBorder="1" applyAlignment="1">
      <alignment wrapText="1"/>
    </xf>
    <xf numFmtId="165" fontId="24" fillId="27" borderId="22" xfId="35" applyNumberFormat="1" applyFont="1" applyFill="1" applyBorder="1" applyAlignment="1">
      <alignment horizontal="center" wrapText="1"/>
    </xf>
    <xf numFmtId="166" fontId="24" fillId="27" borderId="14" xfId="35" applyNumberFormat="1" applyFont="1" applyFill="1" applyBorder="1" applyAlignment="1">
      <alignment wrapText="1"/>
    </xf>
    <xf numFmtId="165" fontId="24" fillId="24" borderId="14" xfId="35" applyNumberFormat="1" applyFont="1" applyFill="1" applyBorder="1" applyAlignment="1">
      <alignment horizontal="center" vertical="center" wrapText="1"/>
    </xf>
    <xf numFmtId="0" fontId="24" fillId="27" borderId="14" xfId="35" applyFont="1" applyFill="1" applyBorder="1" applyAlignment="1">
      <alignment horizontal="center" wrapText="1"/>
    </xf>
    <xf numFmtId="0" fontId="24" fillId="27" borderId="14" xfId="35" applyNumberFormat="1" applyFont="1" applyFill="1" applyBorder="1" applyAlignment="1">
      <alignment wrapText="1"/>
    </xf>
    <xf numFmtId="165" fontId="24" fillId="27" borderId="14" xfId="35" applyNumberFormat="1" applyFont="1" applyFill="1" applyBorder="1" applyAlignment="1">
      <alignment wrapText="1"/>
    </xf>
    <xf numFmtId="0" fontId="21" fillId="0" borderId="0" xfId="0" applyFont="1"/>
    <xf numFmtId="0" fontId="24" fillId="0" borderId="31" xfId="35" applyFont="1" applyFill="1" applyBorder="1" applyAlignment="1">
      <alignment horizontal="center" wrapText="1"/>
    </xf>
    <xf numFmtId="168" fontId="24" fillId="29" borderId="17" xfId="35" applyNumberFormat="1" applyFont="1" applyFill="1" applyBorder="1" applyAlignment="1">
      <alignment horizontal="center" wrapText="1"/>
    </xf>
    <xf numFmtId="166" fontId="24" fillId="27" borderId="40" xfId="35" applyNumberFormat="1" applyFont="1" applyFill="1" applyBorder="1" applyAlignment="1">
      <alignment horizontal="center"/>
    </xf>
    <xf numFmtId="165" fontId="24" fillId="29" borderId="40" xfId="35" applyNumberFormat="1" applyFont="1" applyFill="1" applyBorder="1" applyAlignment="1">
      <alignment horizontal="centerContinuous" wrapText="1"/>
    </xf>
    <xf numFmtId="0" fontId="24" fillId="0" borderId="39" xfId="35" applyFont="1" applyFill="1" applyBorder="1" applyAlignment="1">
      <alignment horizontal="left" wrapText="1"/>
    </xf>
    <xf numFmtId="0" fontId="24" fillId="29" borderId="40" xfId="35" applyFont="1" applyFill="1" applyBorder="1" applyAlignment="1">
      <alignment horizontal="centerContinuous" wrapText="1"/>
    </xf>
    <xf numFmtId="0" fontId="24" fillId="29" borderId="42" xfId="35" applyFont="1" applyFill="1" applyBorder="1" applyAlignment="1">
      <alignment horizontal="centerContinuous" wrapText="1"/>
    </xf>
    <xf numFmtId="165" fontId="24" fillId="27" borderId="40" xfId="35" applyNumberFormat="1" applyFont="1" applyFill="1" applyBorder="1" applyAlignment="1">
      <alignment horizontal="centerContinuous" wrapText="1"/>
    </xf>
    <xf numFmtId="165" fontId="24" fillId="27" borderId="40" xfId="35" applyNumberFormat="1" applyFont="1" applyFill="1" applyBorder="1" applyAlignment="1">
      <alignment horizontal="center" wrapText="1"/>
    </xf>
    <xf numFmtId="168" fontId="24" fillId="27" borderId="40" xfId="35" applyNumberFormat="1" applyFont="1" applyFill="1" applyBorder="1" applyAlignment="1">
      <alignment horizontal="centerContinuous" wrapText="1"/>
    </xf>
    <xf numFmtId="0" fontId="24" fillId="27" borderId="40" xfId="35" applyFont="1" applyFill="1" applyBorder="1" applyAlignment="1">
      <alignment horizontal="centerContinuous" wrapText="1"/>
    </xf>
    <xf numFmtId="0" fontId="24" fillId="27" borderId="40" xfId="35" applyNumberFormat="1" applyFont="1" applyFill="1" applyBorder="1" applyAlignment="1">
      <alignment horizontal="centerContinuous" wrapText="1"/>
    </xf>
    <xf numFmtId="166" fontId="24" fillId="27" borderId="40" xfId="35" applyNumberFormat="1" applyFont="1" applyFill="1" applyBorder="1" applyAlignment="1">
      <alignment horizontal="right" wrapText="1"/>
    </xf>
    <xf numFmtId="44" fontId="22" fillId="29" borderId="62" xfId="43" applyFont="1" applyFill="1" applyBorder="1" applyAlignment="1" applyProtection="1">
      <alignment horizontal="right" wrapText="1"/>
      <protection locked="0"/>
    </xf>
    <xf numFmtId="49" fontId="22" fillId="0" borderId="0" xfId="0" applyNumberFormat="1" applyFont="1" applyFill="1" applyAlignment="1">
      <alignment horizontal="left"/>
    </xf>
    <xf numFmtId="0" fontId="22" fillId="0" borderId="68" xfId="35" applyFont="1" applyFill="1" applyBorder="1" applyAlignment="1">
      <alignment horizontal="left"/>
    </xf>
    <xf numFmtId="44" fontId="22" fillId="0" borderId="69" xfId="43" applyFont="1" applyFill="1" applyBorder="1" applyAlignment="1" applyProtection="1">
      <alignment horizontal="right" wrapText="1"/>
      <protection locked="0"/>
    </xf>
    <xf numFmtId="0" fontId="22" fillId="0" borderId="70" xfId="35" applyFont="1" applyFill="1" applyBorder="1" applyAlignment="1">
      <alignment horizontal="left"/>
    </xf>
    <xf numFmtId="44" fontId="22" fillId="0" borderId="71" xfId="43" applyFont="1" applyFill="1" applyBorder="1" applyAlignment="1" applyProtection="1">
      <alignment horizontal="right" wrapText="1"/>
      <protection locked="0"/>
    </xf>
    <xf numFmtId="0" fontId="21" fillId="0" borderId="1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4" fillId="27" borderId="33" xfId="35" applyFont="1" applyFill="1" applyBorder="1" applyAlignment="1">
      <alignment wrapText="1"/>
    </xf>
    <xf numFmtId="165" fontId="24" fillId="27" borderId="11" xfId="35" applyNumberFormat="1" applyFont="1" applyFill="1" applyBorder="1" applyAlignment="1">
      <alignment wrapText="1"/>
    </xf>
    <xf numFmtId="165" fontId="24" fillId="27" borderId="10" xfId="35" applyNumberFormat="1" applyFont="1" applyFill="1" applyBorder="1" applyAlignment="1">
      <alignment horizontal="center" wrapText="1"/>
    </xf>
    <xf numFmtId="0" fontId="29" fillId="27" borderId="15" xfId="35" applyFont="1" applyFill="1" applyBorder="1" applyAlignment="1">
      <alignment wrapText="1"/>
    </xf>
    <xf numFmtId="44" fontId="21" fillId="29" borderId="88" xfId="43" applyFont="1" applyFill="1" applyBorder="1" applyAlignment="1">
      <alignment vertical="top"/>
    </xf>
    <xf numFmtId="44" fontId="22" fillId="0" borderId="64" xfId="43" applyFont="1" applyFill="1" applyBorder="1" applyAlignment="1" applyProtection="1">
      <alignment horizontal="right" vertical="top" wrapText="1"/>
      <protection locked="0"/>
    </xf>
    <xf numFmtId="0" fontId="22" fillId="0" borderId="65" xfId="35" applyFont="1" applyBorder="1" applyAlignment="1">
      <alignment horizontal="left"/>
    </xf>
    <xf numFmtId="44" fontId="22" fillId="0" borderId="67" xfId="43" applyFont="1" applyFill="1" applyBorder="1" applyAlignment="1" applyProtection="1">
      <alignment horizontal="right" vertical="top" wrapText="1"/>
      <protection locked="0"/>
    </xf>
    <xf numFmtId="44" fontId="22" fillId="29" borderId="27" xfId="43" applyFont="1" applyFill="1" applyBorder="1" applyAlignment="1" applyProtection="1">
      <alignment horizontal="right" wrapText="1"/>
      <protection locked="0"/>
    </xf>
    <xf numFmtId="166" fontId="24" fillId="24" borderId="11" xfId="35" applyNumberFormat="1" applyFont="1" applyFill="1" applyBorder="1" applyAlignment="1">
      <alignment wrapText="1"/>
    </xf>
    <xf numFmtId="0" fontId="25" fillId="24" borderId="15" xfId="35" applyFont="1" applyFill="1" applyBorder="1" applyAlignment="1">
      <alignment horizontal="center" wrapText="1"/>
    </xf>
    <xf numFmtId="0" fontId="25" fillId="29" borderId="15" xfId="35" applyFont="1" applyFill="1" applyBorder="1" applyAlignment="1">
      <alignment horizontal="center" wrapText="1"/>
    </xf>
    <xf numFmtId="0" fontId="24" fillId="0" borderId="44" xfId="0" applyFont="1" applyBorder="1" applyAlignment="1">
      <alignment wrapText="1"/>
    </xf>
    <xf numFmtId="0" fontId="25" fillId="29" borderId="16" xfId="35" applyFont="1" applyFill="1" applyBorder="1" applyAlignment="1">
      <alignment horizontal="center" wrapText="1"/>
    </xf>
    <xf numFmtId="0" fontId="21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4" fillId="27" borderId="24" xfId="35" applyFont="1" applyFill="1" applyBorder="1" applyAlignment="1">
      <alignment horizontal="center" wrapText="1"/>
    </xf>
    <xf numFmtId="44" fontId="22" fillId="0" borderId="11" xfId="0" applyNumberFormat="1" applyFont="1" applyBorder="1" applyAlignment="1">
      <alignment horizontal="center" vertical="center"/>
    </xf>
    <xf numFmtId="44" fontId="22" fillId="0" borderId="10" xfId="0" applyNumberFormat="1" applyFont="1" applyBorder="1" applyAlignment="1">
      <alignment horizontal="center" vertical="center"/>
    </xf>
    <xf numFmtId="44" fontId="22" fillId="0" borderId="17" xfId="0" applyNumberFormat="1" applyFont="1" applyBorder="1" applyAlignment="1">
      <alignment horizontal="center" vertical="center"/>
    </xf>
    <xf numFmtId="0" fontId="22" fillId="27" borderId="23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center" vertical="center"/>
    </xf>
    <xf numFmtId="0" fontId="22" fillId="27" borderId="17" xfId="0" applyFont="1" applyFill="1" applyBorder="1" applyAlignment="1">
      <alignment horizontal="center" vertical="center" wrapText="1"/>
    </xf>
    <xf numFmtId="44" fontId="22" fillId="27" borderId="17" xfId="0" applyNumberFormat="1" applyFont="1" applyFill="1" applyBorder="1" applyAlignment="1">
      <alignment horizontal="center" vertical="center"/>
    </xf>
    <xf numFmtId="0" fontId="22" fillId="27" borderId="31" xfId="0" applyFont="1" applyFill="1" applyBorder="1" applyAlignment="1">
      <alignment horizontal="center" vertical="center"/>
    </xf>
    <xf numFmtId="0" fontId="22" fillId="27" borderId="22" xfId="0" applyFont="1" applyFill="1" applyBorder="1" applyAlignment="1">
      <alignment horizontal="center"/>
    </xf>
    <xf numFmtId="0" fontId="22" fillId="27" borderId="10" xfId="0" applyFont="1" applyFill="1" applyBorder="1" applyAlignment="1">
      <alignment horizontal="center"/>
    </xf>
    <xf numFmtId="0" fontId="22" fillId="27" borderId="10" xfId="0" applyFont="1" applyFill="1" applyBorder="1" applyAlignment="1">
      <alignment horizontal="center" vertical="center"/>
    </xf>
    <xf numFmtId="49" fontId="22" fillId="27" borderId="10" xfId="0" applyNumberFormat="1" applyFont="1" applyFill="1" applyBorder="1" applyAlignment="1">
      <alignment horizontal="center"/>
    </xf>
    <xf numFmtId="44" fontId="22" fillId="27" borderId="10" xfId="0" applyNumberFormat="1" applyFont="1" applyFill="1" applyBorder="1" applyAlignment="1">
      <alignment horizontal="center"/>
    </xf>
    <xf numFmtId="0" fontId="22" fillId="27" borderId="10" xfId="0" applyFont="1" applyFill="1" applyBorder="1" applyAlignment="1">
      <alignment horizontal="center" wrapText="1"/>
    </xf>
    <xf numFmtId="0" fontId="22" fillId="27" borderId="15" xfId="0" applyFont="1" applyFill="1" applyBorder="1" applyAlignment="1">
      <alignment horizontal="center"/>
    </xf>
    <xf numFmtId="0" fontId="22" fillId="27" borderId="53" xfId="0" applyFont="1" applyFill="1" applyBorder="1" applyAlignment="1">
      <alignment horizontal="center"/>
    </xf>
    <xf numFmtId="0" fontId="22" fillId="27" borderId="14" xfId="0" applyFont="1" applyFill="1" applyBorder="1" applyAlignment="1">
      <alignment horizontal="center"/>
    </xf>
    <xf numFmtId="49" fontId="22" fillId="27" borderId="14" xfId="0" applyNumberFormat="1" applyFont="1" applyFill="1" applyBorder="1" applyAlignment="1">
      <alignment horizontal="center"/>
    </xf>
    <xf numFmtId="44" fontId="22" fillId="27" borderId="14" xfId="0" applyNumberFormat="1" applyFont="1" applyFill="1" applyBorder="1" applyAlignment="1">
      <alignment horizontal="center"/>
    </xf>
    <xf numFmtId="0" fontId="22" fillId="27" borderId="14" xfId="0" applyFont="1" applyFill="1" applyBorder="1" applyAlignment="1">
      <alignment horizontal="center" wrapText="1"/>
    </xf>
    <xf numFmtId="0" fontId="22" fillId="27" borderId="16" xfId="0" applyFont="1" applyFill="1" applyBorder="1" applyAlignment="1">
      <alignment horizontal="center"/>
    </xf>
    <xf numFmtId="0" fontId="25" fillId="27" borderId="41" xfId="35" applyFont="1" applyFill="1" applyBorder="1" applyAlignment="1">
      <alignment horizontal="center" vertical="center" wrapText="1"/>
    </xf>
    <xf numFmtId="0" fontId="24" fillId="27" borderId="33" xfId="0" applyFont="1" applyFill="1" applyBorder="1" applyAlignment="1">
      <alignment wrapText="1"/>
    </xf>
    <xf numFmtId="0" fontId="24" fillId="0" borderId="33" xfId="0" applyFont="1" applyBorder="1" applyAlignment="1"/>
    <xf numFmtId="165" fontId="24" fillId="24" borderId="11" xfId="35" applyNumberFormat="1" applyFont="1" applyFill="1" applyBorder="1" applyAlignment="1">
      <alignment wrapText="1"/>
    </xf>
    <xf numFmtId="0" fontId="24" fillId="24" borderId="37" xfId="35" applyFont="1" applyFill="1" applyBorder="1" applyAlignment="1">
      <alignment wrapText="1"/>
    </xf>
    <xf numFmtId="165" fontId="24" fillId="24" borderId="11" xfId="35" applyNumberFormat="1" applyFont="1" applyFill="1" applyBorder="1" applyAlignment="1">
      <alignment horizontal="center" wrapText="1"/>
    </xf>
    <xf numFmtId="0" fontId="24" fillId="24" borderId="11" xfId="35" applyFont="1" applyFill="1" applyBorder="1" applyAlignment="1">
      <alignment horizontal="center" wrapText="1"/>
    </xf>
    <xf numFmtId="0" fontId="24" fillId="24" borderId="11" xfId="35" applyNumberFormat="1" applyFont="1" applyFill="1" applyBorder="1" applyAlignment="1">
      <alignment wrapText="1"/>
    </xf>
    <xf numFmtId="0" fontId="29" fillId="24" borderId="18" xfId="35" applyFont="1" applyFill="1" applyBorder="1" applyAlignment="1">
      <alignment wrapText="1"/>
    </xf>
    <xf numFmtId="0" fontId="25" fillId="24" borderId="34" xfId="35" applyFont="1" applyFill="1" applyBorder="1" applyAlignment="1">
      <alignment horizontal="center" vertical="center" wrapText="1"/>
    </xf>
    <xf numFmtId="0" fontId="25" fillId="24" borderId="35" xfId="35" applyFont="1" applyFill="1" applyBorder="1" applyAlignment="1">
      <alignment horizontal="center" vertical="center" wrapText="1"/>
    </xf>
    <xf numFmtId="0" fontId="25" fillId="24" borderId="29" xfId="35" applyFont="1" applyFill="1" applyBorder="1" applyAlignment="1">
      <alignment horizontal="center" vertical="center" wrapText="1"/>
    </xf>
    <xf numFmtId="0" fontId="25" fillId="24" borderId="49" xfId="35" applyFont="1" applyFill="1" applyBorder="1" applyAlignment="1">
      <alignment horizontal="center" vertical="center" wrapText="1"/>
    </xf>
    <xf numFmtId="0" fontId="25" fillId="24" borderId="51" xfId="35" applyFont="1" applyFill="1" applyBorder="1" applyAlignment="1">
      <alignment horizontal="center" vertical="center" wrapText="1"/>
    </xf>
    <xf numFmtId="0" fontId="25" fillId="24" borderId="52" xfId="35" applyFont="1" applyFill="1" applyBorder="1" applyAlignment="1">
      <alignment horizontal="center" vertical="center" wrapText="1"/>
    </xf>
    <xf numFmtId="0" fontId="25" fillId="24" borderId="43" xfId="35" applyFont="1" applyFill="1" applyBorder="1" applyAlignment="1">
      <alignment horizontal="center" vertical="center" wrapText="1"/>
    </xf>
    <xf numFmtId="0" fontId="25" fillId="24" borderId="21" xfId="35" applyFont="1" applyFill="1" applyBorder="1" applyAlignment="1">
      <alignment horizontal="center" vertical="center" wrapText="1"/>
    </xf>
    <xf numFmtId="0" fontId="25" fillId="24" borderId="56" xfId="35" applyFont="1" applyFill="1" applyBorder="1" applyAlignment="1">
      <alignment horizontal="center" vertical="center" wrapText="1"/>
    </xf>
    <xf numFmtId="0" fontId="25" fillId="24" borderId="54" xfId="35" applyFont="1" applyFill="1" applyBorder="1" applyAlignment="1">
      <alignment horizontal="center" vertical="center" wrapText="1"/>
    </xf>
    <xf numFmtId="0" fontId="25" fillId="24" borderId="13" xfId="35" applyFont="1" applyFill="1" applyBorder="1" applyAlignment="1">
      <alignment horizontal="center" vertical="center" wrapText="1"/>
    </xf>
    <xf numFmtId="0" fontId="25" fillId="24" borderId="55" xfId="35" applyFont="1" applyFill="1" applyBorder="1" applyAlignment="1">
      <alignment horizontal="center" vertical="center" wrapText="1"/>
    </xf>
    <xf numFmtId="0" fontId="25" fillId="24" borderId="83" xfId="35" applyFont="1" applyFill="1" applyBorder="1" applyAlignment="1">
      <alignment horizontal="center" vertical="center" wrapText="1"/>
    </xf>
    <xf numFmtId="0" fontId="25" fillId="24" borderId="48" xfId="35" applyFont="1" applyFill="1" applyBorder="1" applyAlignment="1">
      <alignment horizontal="center" vertical="center" wrapText="1"/>
    </xf>
    <xf numFmtId="0" fontId="25" fillId="24" borderId="84" xfId="35" applyFont="1" applyFill="1" applyBorder="1" applyAlignment="1">
      <alignment horizontal="center" vertical="center" wrapText="1"/>
    </xf>
    <xf numFmtId="0" fontId="25" fillId="20" borderId="27" xfId="35" applyFont="1" applyFill="1" applyBorder="1" applyAlignment="1">
      <alignment horizontal="center" vertical="center" wrapText="1"/>
    </xf>
    <xf numFmtId="0" fontId="25" fillId="20" borderId="15" xfId="35" applyFont="1" applyFill="1" applyBorder="1" applyAlignment="1">
      <alignment horizontal="center" vertical="center" wrapText="1"/>
    </xf>
    <xf numFmtId="0" fontId="25" fillId="20" borderId="26" xfId="35" applyFont="1" applyFill="1" applyBorder="1" applyAlignment="1">
      <alignment horizontal="center" vertical="center" wrapText="1"/>
    </xf>
    <xf numFmtId="0" fontId="25" fillId="24" borderId="28" xfId="35" applyFont="1" applyFill="1" applyBorder="1" applyAlignment="1">
      <alignment horizontal="center" vertical="center" wrapText="1"/>
    </xf>
    <xf numFmtId="0" fontId="25" fillId="24" borderId="33" xfId="35" applyFont="1" applyFill="1" applyBorder="1" applyAlignment="1">
      <alignment horizontal="center" vertical="center" wrapText="1"/>
    </xf>
    <xf numFmtId="0" fontId="25" fillId="24" borderId="30" xfId="35" applyFont="1" applyFill="1" applyBorder="1" applyAlignment="1">
      <alignment horizontal="center" vertical="center" wrapText="1"/>
    </xf>
    <xf numFmtId="0" fontId="25" fillId="27" borderId="43" xfId="35" applyFont="1" applyFill="1" applyBorder="1" applyAlignment="1">
      <alignment horizontal="center" vertical="center" wrapText="1"/>
    </xf>
    <xf numFmtId="0" fontId="25" fillId="27" borderId="21" xfId="35" applyFont="1" applyFill="1" applyBorder="1" applyAlignment="1">
      <alignment horizontal="center" vertical="center" wrapText="1"/>
    </xf>
    <xf numFmtId="4" fontId="25" fillId="20" borderId="26" xfId="35" applyNumberFormat="1" applyFont="1" applyFill="1" applyBorder="1" applyAlignment="1">
      <alignment horizontal="center" vertical="center" wrapText="1"/>
    </xf>
    <xf numFmtId="4" fontId="25" fillId="20" borderId="10" xfId="35" applyNumberFormat="1" applyFont="1" applyFill="1" applyBorder="1" applyAlignment="1">
      <alignment horizontal="center" vertical="center" wrapText="1"/>
    </xf>
    <xf numFmtId="0" fontId="25" fillId="20" borderId="28" xfId="35" applyFont="1" applyFill="1" applyBorder="1" applyAlignment="1">
      <alignment horizontal="center" vertical="center" wrapText="1"/>
    </xf>
    <xf numFmtId="0" fontId="25" fillId="20" borderId="33" xfId="35" applyFont="1" applyFill="1" applyBorder="1" applyAlignment="1">
      <alignment horizontal="center" vertical="center" wrapText="1"/>
    </xf>
    <xf numFmtId="0" fontId="25" fillId="20" borderId="10" xfId="35" applyFont="1" applyFill="1" applyBorder="1" applyAlignment="1">
      <alignment horizontal="center" vertical="center" wrapText="1"/>
    </xf>
    <xf numFmtId="0" fontId="25" fillId="20" borderId="43" xfId="35" applyFont="1" applyFill="1" applyBorder="1" applyAlignment="1">
      <alignment horizontal="center" vertical="center" wrapText="1"/>
    </xf>
    <xf numFmtId="0" fontId="25" fillId="20" borderId="56" xfId="35" applyFont="1" applyFill="1" applyBorder="1" applyAlignment="1">
      <alignment horizontal="center" vertical="center" wrapText="1"/>
    </xf>
    <xf numFmtId="0" fontId="25" fillId="24" borderId="77" xfId="35" applyFont="1" applyFill="1" applyBorder="1" applyAlignment="1">
      <alignment horizontal="center" vertical="center" wrapText="1"/>
    </xf>
    <xf numFmtId="0" fontId="25" fillId="24" borderId="24" xfId="35" applyFont="1" applyFill="1" applyBorder="1" applyAlignment="1">
      <alignment horizontal="center" vertical="center" wrapText="1"/>
    </xf>
    <xf numFmtId="0" fontId="25" fillId="24" borderId="36" xfId="35" applyFont="1" applyFill="1" applyBorder="1" applyAlignment="1">
      <alignment horizontal="center" vertical="center" wrapText="1"/>
    </xf>
    <xf numFmtId="165" fontId="25" fillId="31" borderId="26" xfId="44" applyNumberFormat="1" applyFont="1" applyFill="1" applyBorder="1" applyAlignment="1" applyProtection="1">
      <alignment horizontal="center" vertical="center" wrapText="1"/>
    </xf>
    <xf numFmtId="165" fontId="25" fillId="31" borderId="10" xfId="44" applyNumberFormat="1" applyFont="1" applyFill="1" applyBorder="1" applyAlignment="1" applyProtection="1">
      <alignment horizontal="center" vertical="center" wrapText="1"/>
    </xf>
    <xf numFmtId="0" fontId="25" fillId="20" borderId="34" xfId="35" applyFont="1" applyFill="1" applyBorder="1" applyAlignment="1">
      <alignment horizontal="center" vertical="center" wrapText="1"/>
    </xf>
    <xf numFmtId="0" fontId="25" fillId="20" borderId="29" xfId="35" applyFont="1" applyFill="1" applyBorder="1" applyAlignment="1">
      <alignment horizontal="center" vertical="center" wrapText="1"/>
    </xf>
    <xf numFmtId="165" fontId="25" fillId="20" borderId="26" xfId="44" applyNumberFormat="1" applyFont="1" applyFill="1" applyBorder="1" applyAlignment="1" applyProtection="1">
      <alignment horizontal="center" vertical="center" wrapText="1"/>
    </xf>
    <xf numFmtId="165" fontId="25" fillId="20" borderId="10" xfId="44" applyNumberFormat="1" applyFont="1" applyFill="1" applyBorder="1" applyAlignment="1" applyProtection="1">
      <alignment horizontal="center" vertical="center" wrapText="1"/>
    </xf>
    <xf numFmtId="0" fontId="25" fillId="24" borderId="37" xfId="35" applyFont="1" applyFill="1" applyBorder="1" applyAlignment="1">
      <alignment horizontal="center" vertical="center" wrapText="1"/>
    </xf>
    <xf numFmtId="166" fontId="25" fillId="20" borderId="26" xfId="44" applyNumberFormat="1" applyFont="1" applyFill="1" applyBorder="1" applyAlignment="1" applyProtection="1">
      <alignment horizontal="center" vertical="center" wrapText="1"/>
    </xf>
    <xf numFmtId="166" fontId="25" fillId="20" borderId="10" xfId="44" applyNumberFormat="1" applyFont="1" applyFill="1" applyBorder="1" applyAlignment="1" applyProtection="1">
      <alignment horizontal="center" vertical="center" wrapText="1"/>
    </xf>
    <xf numFmtId="0" fontId="22" fillId="0" borderId="19" xfId="35" applyFont="1" applyBorder="1" applyAlignment="1">
      <alignment horizontal="left" vertical="top" wrapText="1"/>
    </xf>
    <xf numFmtId="0" fontId="22" fillId="0" borderId="80" xfId="35" applyFont="1" applyBorder="1" applyAlignment="1">
      <alignment horizontal="left" vertical="top" wrapText="1"/>
    </xf>
    <xf numFmtId="0" fontId="22" fillId="0" borderId="20" xfId="35" applyFont="1" applyBorder="1" applyAlignment="1">
      <alignment horizontal="left" vertical="top" wrapText="1"/>
    </xf>
    <xf numFmtId="0" fontId="21" fillId="29" borderId="60" xfId="35" applyFont="1" applyFill="1" applyBorder="1" applyAlignment="1">
      <alignment horizontal="center" vertical="top"/>
    </xf>
    <xf numFmtId="0" fontId="21" fillId="29" borderId="61" xfId="35" applyFont="1" applyFill="1" applyBorder="1" applyAlignment="1">
      <alignment horizontal="center" vertical="top"/>
    </xf>
    <xf numFmtId="0" fontId="22" fillId="0" borderId="76" xfId="0" applyFont="1" applyBorder="1" applyAlignment="1">
      <alignment horizontal="center"/>
    </xf>
    <xf numFmtId="0" fontId="22" fillId="0" borderId="24" xfId="35" applyFont="1" applyBorder="1" applyAlignment="1">
      <alignment horizontal="left" vertical="top" wrapText="1"/>
    </xf>
    <xf numFmtId="0" fontId="22" fillId="0" borderId="22" xfId="35" applyFont="1" applyBorder="1" applyAlignment="1">
      <alignment horizontal="left" vertical="top" wrapText="1"/>
    </xf>
    <xf numFmtId="0" fontId="22" fillId="0" borderId="12" xfId="35" applyFont="1" applyBorder="1" applyAlignment="1">
      <alignment vertical="top" wrapText="1"/>
    </xf>
    <xf numFmtId="0" fontId="21" fillId="29" borderId="57" xfId="35" applyFont="1" applyFill="1" applyBorder="1" applyAlignment="1">
      <alignment horizontal="center" vertical="top"/>
    </xf>
    <xf numFmtId="0" fontId="21" fillId="29" borderId="58" xfId="35" applyFont="1" applyFill="1" applyBorder="1" applyAlignment="1">
      <alignment horizontal="center" vertical="top"/>
    </xf>
    <xf numFmtId="0" fontId="21" fillId="29" borderId="60" xfId="35" applyFont="1" applyFill="1" applyBorder="1" applyAlignment="1">
      <alignment horizontal="center" vertical="top" wrapText="1"/>
    </xf>
    <xf numFmtId="0" fontId="21" fillId="29" borderId="61" xfId="35" applyFont="1" applyFill="1" applyBorder="1" applyAlignment="1">
      <alignment horizontal="center" vertical="top" wrapText="1"/>
    </xf>
    <xf numFmtId="0" fontId="22" fillId="0" borderId="19" xfId="35" applyFont="1" applyBorder="1" applyAlignment="1">
      <alignment vertical="top" wrapText="1"/>
    </xf>
    <xf numFmtId="0" fontId="22" fillId="0" borderId="66" xfId="35" applyFont="1" applyBorder="1" applyAlignment="1">
      <alignment vertical="top" wrapText="1"/>
    </xf>
    <xf numFmtId="0" fontId="22" fillId="0" borderId="79" xfId="35" applyFont="1" applyBorder="1" applyAlignment="1">
      <alignment vertical="top" wrapText="1"/>
    </xf>
    <xf numFmtId="0" fontId="21" fillId="20" borderId="74" xfId="35" applyFont="1" applyFill="1" applyBorder="1" applyAlignment="1">
      <alignment horizontal="center" vertical="center"/>
    </xf>
    <xf numFmtId="0" fontId="22" fillId="0" borderId="10" xfId="35" applyFont="1" applyBorder="1" applyAlignment="1">
      <alignment vertical="top" wrapText="1"/>
    </xf>
    <xf numFmtId="0" fontId="21" fillId="30" borderId="32" xfId="35" applyFont="1" applyFill="1" applyBorder="1" applyAlignment="1">
      <alignment horizontal="center" vertical="top"/>
    </xf>
    <xf numFmtId="0" fontId="21" fillId="30" borderId="72" xfId="35" applyFont="1" applyFill="1" applyBorder="1" applyAlignment="1">
      <alignment horizontal="center" vertical="top"/>
    </xf>
    <xf numFmtId="0" fontId="22" fillId="0" borderId="45" xfId="35" applyFont="1" applyBorder="1" applyAlignment="1">
      <alignment horizontal="left" vertical="top" wrapText="1"/>
    </xf>
    <xf numFmtId="0" fontId="22" fillId="0" borderId="53" xfId="35" applyFont="1" applyBorder="1" applyAlignment="1">
      <alignment horizontal="left" vertical="top" wrapText="1"/>
    </xf>
    <xf numFmtId="0" fontId="22" fillId="0" borderId="10" xfId="35" applyFont="1" applyBorder="1" applyAlignment="1">
      <alignment horizontal="left" vertical="top" wrapText="1"/>
    </xf>
    <xf numFmtId="0" fontId="22" fillId="0" borderId="10" xfId="35" applyFont="1" applyBorder="1" applyAlignment="1">
      <alignment horizontal="center" vertical="top" wrapText="1"/>
    </xf>
    <xf numFmtId="0" fontId="22" fillId="0" borderId="24" xfId="35" applyFont="1" applyBorder="1" applyAlignment="1">
      <alignment horizontal="center" vertical="top" wrapText="1"/>
    </xf>
    <xf numFmtId="0" fontId="21" fillId="29" borderId="28" xfId="0" applyFont="1" applyFill="1" applyBorder="1" applyAlignment="1">
      <alignment horizontal="center" wrapText="1"/>
    </xf>
    <xf numFmtId="0" fontId="21" fillId="29" borderId="26" xfId="0" applyFont="1" applyFill="1" applyBorder="1" applyAlignment="1">
      <alignment horizontal="center" wrapText="1"/>
    </xf>
    <xf numFmtId="0" fontId="22" fillId="0" borderId="85" xfId="35" applyFont="1" applyBorder="1" applyAlignment="1">
      <alignment horizontal="left" vertical="top" wrapText="1"/>
    </xf>
    <xf numFmtId="0" fontId="22" fillId="0" borderId="32" xfId="35" applyFont="1" applyBorder="1" applyAlignment="1">
      <alignment horizontal="left" vertical="top" wrapText="1"/>
    </xf>
    <xf numFmtId="0" fontId="22" fillId="0" borderId="72" xfId="35" applyFont="1" applyBorder="1" applyAlignment="1">
      <alignment horizontal="left" vertical="top" wrapText="1"/>
    </xf>
    <xf numFmtId="0" fontId="22" fillId="0" borderId="24" xfId="35" applyFont="1" applyBorder="1" applyAlignment="1">
      <alignment vertical="top" wrapText="1"/>
    </xf>
    <xf numFmtId="0" fontId="22" fillId="0" borderId="24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80" xfId="35" applyFont="1" applyBorder="1" applyAlignment="1">
      <alignment vertical="top" wrapText="1"/>
    </xf>
    <xf numFmtId="0" fontId="21" fillId="29" borderId="57" xfId="35" applyFont="1" applyFill="1" applyBorder="1" applyAlignment="1">
      <alignment horizontal="center"/>
    </xf>
    <xf numFmtId="0" fontId="21" fillId="29" borderId="58" xfId="35" applyFont="1" applyFill="1" applyBorder="1" applyAlignment="1">
      <alignment horizontal="center"/>
    </xf>
    <xf numFmtId="0" fontId="21" fillId="29" borderId="50" xfId="35" applyFont="1" applyFill="1" applyBorder="1" applyAlignment="1">
      <alignment horizontal="center"/>
    </xf>
    <xf numFmtId="0" fontId="21" fillId="29" borderId="28" xfId="35" applyFont="1" applyFill="1" applyBorder="1" applyAlignment="1">
      <alignment horizontal="center"/>
    </xf>
    <xf numFmtId="0" fontId="21" fillId="29" borderId="26" xfId="35" applyFont="1" applyFill="1" applyBorder="1" applyAlignment="1">
      <alignment horizontal="center"/>
    </xf>
    <xf numFmtId="0" fontId="22" fillId="0" borderId="46" xfId="35" applyFont="1" applyBorder="1" applyAlignment="1">
      <alignment horizontal="left" vertical="top" wrapText="1"/>
    </xf>
    <xf numFmtId="0" fontId="22" fillId="0" borderId="86" xfId="35" applyFont="1" applyBorder="1" applyAlignment="1">
      <alignment horizontal="left" vertical="top" wrapText="1"/>
    </xf>
    <xf numFmtId="0" fontId="21" fillId="29" borderId="60" xfId="35" applyFont="1" applyFill="1" applyBorder="1" applyAlignment="1">
      <alignment horizontal="center"/>
    </xf>
    <xf numFmtId="0" fontId="21" fillId="29" borderId="61" xfId="35" applyFont="1" applyFill="1" applyBorder="1" applyAlignment="1">
      <alignment horizontal="center"/>
    </xf>
    <xf numFmtId="0" fontId="22" fillId="0" borderId="20" xfId="35" applyFont="1" applyBorder="1" applyAlignment="1">
      <alignment vertical="top" wrapText="1"/>
    </xf>
    <xf numFmtId="0" fontId="22" fillId="0" borderId="36" xfId="35" applyFont="1" applyBorder="1" applyAlignment="1">
      <alignment horizontal="left" vertical="top" wrapText="1"/>
    </xf>
    <xf numFmtId="0" fontId="22" fillId="0" borderId="23" xfId="35" applyFont="1" applyBorder="1" applyAlignment="1">
      <alignment horizontal="left" vertical="top" wrapText="1"/>
    </xf>
    <xf numFmtId="0" fontId="22" fillId="0" borderId="3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84" xfId="0" applyFont="1" applyBorder="1" applyAlignment="1">
      <alignment horizontal="left" vertical="center" wrapText="1"/>
    </xf>
    <xf numFmtId="0" fontId="22" fillId="0" borderId="15" xfId="0" applyFont="1" applyBorder="1" applyAlignment="1">
      <alignment vertical="center" wrapText="1"/>
    </xf>
  </cellXfs>
  <cellStyles count="46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Obliczenia 2" xfId="36" xr:uid="{00000000-0005-0000-0000-000024000000}"/>
    <cellStyle name="Procentowy 2" xfId="37" xr:uid="{00000000-0005-0000-0000-000025000000}"/>
    <cellStyle name="Suma 2" xfId="38" xr:uid="{00000000-0005-0000-0000-000026000000}"/>
    <cellStyle name="Tekst objaśnienia 2" xfId="39" xr:uid="{00000000-0005-0000-0000-000027000000}"/>
    <cellStyle name="Tekst ostrzeżenia 2" xfId="40" xr:uid="{00000000-0005-0000-0000-000028000000}"/>
    <cellStyle name="Tytuł 2" xfId="41" xr:uid="{00000000-0005-0000-0000-000029000000}"/>
    <cellStyle name="Uwaga 2" xfId="42" xr:uid="{00000000-0005-0000-0000-00002A000000}"/>
    <cellStyle name="Walutowy" xfId="43" builtinId="4"/>
    <cellStyle name="Walutowy 2" xfId="44" xr:uid="{00000000-0005-0000-0000-00002C000000}"/>
    <cellStyle name="Złe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opLeftCell="E1" zoomScale="80" zoomScaleNormal="80" workbookViewId="0">
      <pane ySplit="3" topLeftCell="A119" activePane="bottomLeft" state="frozen"/>
      <selection activeCell="D1" sqref="D1"/>
      <selection pane="bottomLeft" activeCell="U128" sqref="U128"/>
    </sheetView>
  </sheetViews>
  <sheetFormatPr defaultColWidth="9.109375" defaultRowHeight="13.8"/>
  <cols>
    <col min="1" max="1" width="6.88671875" style="9" customWidth="1"/>
    <col min="2" max="2" width="9.109375" style="5"/>
    <col min="3" max="3" width="18.44140625" style="9" customWidth="1"/>
    <col min="4" max="4" width="49.88671875" style="9" customWidth="1"/>
    <col min="5" max="5" width="16.6640625" style="9" bestFit="1" customWidth="1"/>
    <col min="6" max="6" width="15" style="14" customWidth="1"/>
    <col min="7" max="7" width="13.33203125" style="14" customWidth="1"/>
    <col min="8" max="8" width="14.33203125" style="14" customWidth="1"/>
    <col min="9" max="9" width="11.44140625" style="9" customWidth="1"/>
    <col min="10" max="11" width="14.88671875" style="9" customWidth="1"/>
    <col min="12" max="12" width="15.109375" style="14" customWidth="1"/>
    <col min="13" max="13" width="15.6640625" style="14" customWidth="1"/>
    <col min="14" max="14" width="19.44140625" style="14" customWidth="1"/>
    <col min="15" max="15" width="17.88671875" style="15" customWidth="1"/>
    <col min="16" max="16" width="17" style="14" customWidth="1"/>
    <col min="17" max="17" width="25.6640625" style="9" customWidth="1"/>
    <col min="18" max="18" width="11" style="9" customWidth="1"/>
    <col min="19" max="16384" width="9.109375" style="9"/>
  </cols>
  <sheetData>
    <row r="1" spans="1:17" ht="14.4" thickBot="1"/>
    <row r="2" spans="1:17" s="5" customFormat="1" ht="34.5" customHeight="1">
      <c r="B2" s="320" t="s">
        <v>0</v>
      </c>
      <c r="C2" s="313" t="s">
        <v>1</v>
      </c>
      <c r="D2" s="310" t="s">
        <v>2</v>
      </c>
      <c r="E2" s="318" t="s">
        <v>337</v>
      </c>
      <c r="F2" s="322" t="s">
        <v>44</v>
      </c>
      <c r="G2" s="302" t="s">
        <v>3</v>
      </c>
      <c r="H2" s="308" t="s">
        <v>217</v>
      </c>
      <c r="I2" s="325" t="s">
        <v>5</v>
      </c>
      <c r="J2" s="322" t="s">
        <v>6</v>
      </c>
      <c r="K2" s="325" t="s">
        <v>7</v>
      </c>
      <c r="L2" s="302" t="s">
        <v>4</v>
      </c>
      <c r="M2" s="302"/>
      <c r="N2" s="302"/>
      <c r="O2" s="302"/>
      <c r="P2" s="302" t="s">
        <v>22</v>
      </c>
      <c r="Q2" s="300" t="s">
        <v>23</v>
      </c>
    </row>
    <row r="3" spans="1:17" s="5" customFormat="1" ht="14.4" thickBot="1">
      <c r="B3" s="321"/>
      <c r="C3" s="314"/>
      <c r="D3" s="311"/>
      <c r="E3" s="319"/>
      <c r="F3" s="323"/>
      <c r="G3" s="312"/>
      <c r="H3" s="309"/>
      <c r="I3" s="326"/>
      <c r="J3" s="323"/>
      <c r="K3" s="326"/>
      <c r="L3" s="54" t="s">
        <v>8</v>
      </c>
      <c r="M3" s="55" t="s">
        <v>9</v>
      </c>
      <c r="N3" s="54" t="s">
        <v>10</v>
      </c>
      <c r="O3" s="54" t="s">
        <v>11</v>
      </c>
      <c r="P3" s="312"/>
      <c r="Q3" s="301"/>
    </row>
    <row r="4" spans="1:17" s="5" customFormat="1">
      <c r="A4" s="5" t="s">
        <v>42</v>
      </c>
      <c r="B4" s="324" t="s">
        <v>12</v>
      </c>
      <c r="C4" s="315" t="s">
        <v>60</v>
      </c>
      <c r="D4" s="39" t="s">
        <v>200</v>
      </c>
      <c r="E4" s="153">
        <f t="shared" ref="E4:E25" si="0">IF(J4&gt;K4,J4,K4)</f>
        <v>280000</v>
      </c>
      <c r="F4" s="25" t="s">
        <v>53</v>
      </c>
      <c r="G4" s="26">
        <v>1969</v>
      </c>
      <c r="H4" s="26">
        <v>140</v>
      </c>
      <c r="I4" s="27">
        <v>2000</v>
      </c>
      <c r="J4" s="24">
        <f>I4*H4</f>
        <v>280000</v>
      </c>
      <c r="K4" s="24">
        <v>142239.39000000001</v>
      </c>
      <c r="L4" s="26"/>
      <c r="M4" s="25"/>
      <c r="N4" s="25"/>
      <c r="O4" s="26"/>
      <c r="P4" s="26"/>
      <c r="Q4" s="41"/>
    </row>
    <row r="5" spans="1:17" s="5" customFormat="1">
      <c r="A5" s="5" t="s">
        <v>42</v>
      </c>
      <c r="B5" s="324"/>
      <c r="C5" s="316"/>
      <c r="D5" s="39" t="s">
        <v>61</v>
      </c>
      <c r="E5" s="153">
        <f t="shared" si="0"/>
        <v>3074.5</v>
      </c>
      <c r="F5" s="25" t="s">
        <v>45</v>
      </c>
      <c r="G5" s="26">
        <v>1997</v>
      </c>
      <c r="H5" s="26">
        <v>0</v>
      </c>
      <c r="I5" s="27">
        <v>1000</v>
      </c>
      <c r="J5" s="24">
        <f t="shared" ref="J5:J28" si="1">I5*H5</f>
        <v>0</v>
      </c>
      <c r="K5" s="28">
        <v>3074.5</v>
      </c>
      <c r="L5" s="26"/>
      <c r="M5" s="25"/>
      <c r="N5" s="25"/>
      <c r="O5" s="26"/>
      <c r="P5" s="26"/>
      <c r="Q5" s="41"/>
    </row>
    <row r="6" spans="1:17" s="5" customFormat="1">
      <c r="A6" s="5" t="s">
        <v>42</v>
      </c>
      <c r="B6" s="324"/>
      <c r="C6" s="316"/>
      <c r="D6" s="39" t="s">
        <v>62</v>
      </c>
      <c r="E6" s="153">
        <f t="shared" si="0"/>
        <v>50760</v>
      </c>
      <c r="F6" s="25" t="s">
        <v>45</v>
      </c>
      <c r="G6" s="26">
        <v>1969</v>
      </c>
      <c r="H6" s="26">
        <v>0</v>
      </c>
      <c r="I6" s="27">
        <v>3000</v>
      </c>
      <c r="J6" s="24">
        <f t="shared" si="1"/>
        <v>0</v>
      </c>
      <c r="K6" s="28">
        <v>50760</v>
      </c>
      <c r="L6" s="26"/>
      <c r="M6" s="25"/>
      <c r="N6" s="25"/>
      <c r="O6" s="26"/>
      <c r="P6" s="26"/>
      <c r="Q6" s="41"/>
    </row>
    <row r="7" spans="1:17" s="5" customFormat="1">
      <c r="A7" s="5" t="s">
        <v>42</v>
      </c>
      <c r="B7" s="324"/>
      <c r="C7" s="316"/>
      <c r="D7" s="39" t="s">
        <v>63</v>
      </c>
      <c r="E7" s="153">
        <f t="shared" si="0"/>
        <v>792000</v>
      </c>
      <c r="F7" s="25" t="s">
        <v>53</v>
      </c>
      <c r="G7" s="26">
        <v>1999</v>
      </c>
      <c r="H7" s="26">
        <v>396</v>
      </c>
      <c r="I7" s="27">
        <v>2000</v>
      </c>
      <c r="J7" s="24">
        <f t="shared" si="1"/>
        <v>792000</v>
      </c>
      <c r="K7" s="28">
        <v>131561</v>
      </c>
      <c r="L7" s="26"/>
      <c r="M7" s="25"/>
      <c r="N7" s="25"/>
      <c r="O7" s="26"/>
      <c r="P7" s="26"/>
      <c r="Q7" s="41"/>
    </row>
    <row r="8" spans="1:17" s="5" customFormat="1">
      <c r="A8" s="5" t="s">
        <v>42</v>
      </c>
      <c r="B8" s="324"/>
      <c r="C8" s="316"/>
      <c r="D8" s="39" t="s">
        <v>64</v>
      </c>
      <c r="E8" s="153">
        <f t="shared" si="0"/>
        <v>96000</v>
      </c>
      <c r="F8" s="25" t="s">
        <v>53</v>
      </c>
      <c r="G8" s="26">
        <v>2000</v>
      </c>
      <c r="H8" s="26">
        <v>48</v>
      </c>
      <c r="I8" s="27">
        <v>2000</v>
      </c>
      <c r="J8" s="24">
        <f>I8*H8</f>
        <v>96000</v>
      </c>
      <c r="K8" s="28">
        <v>2000</v>
      </c>
      <c r="L8" s="26" t="s">
        <v>57</v>
      </c>
      <c r="M8" s="25" t="s">
        <v>18</v>
      </c>
      <c r="N8" s="25" t="s">
        <v>18</v>
      </c>
      <c r="O8" s="26"/>
      <c r="P8" s="26"/>
      <c r="Q8" s="41"/>
    </row>
    <row r="9" spans="1:17" s="5" customFormat="1">
      <c r="A9" s="5" t="s">
        <v>42</v>
      </c>
      <c r="B9" s="324"/>
      <c r="C9" s="316"/>
      <c r="D9" s="39" t="s">
        <v>236</v>
      </c>
      <c r="E9" s="153">
        <f t="shared" si="0"/>
        <v>9440.06</v>
      </c>
      <c r="F9" s="25" t="s">
        <v>45</v>
      </c>
      <c r="G9" s="26"/>
      <c r="H9" s="26"/>
      <c r="I9" s="27"/>
      <c r="J9" s="24"/>
      <c r="K9" s="28">
        <v>9440.06</v>
      </c>
      <c r="L9" s="26"/>
      <c r="M9" s="25"/>
      <c r="N9" s="25"/>
      <c r="O9" s="26"/>
      <c r="P9" s="26"/>
      <c r="Q9" s="41"/>
    </row>
    <row r="10" spans="1:17" s="5" customFormat="1" ht="15.75" customHeight="1">
      <c r="A10" s="5" t="s">
        <v>42</v>
      </c>
      <c r="B10" s="324"/>
      <c r="C10" s="316"/>
      <c r="D10" s="39" t="s">
        <v>338</v>
      </c>
      <c r="E10" s="153">
        <f>IF(J10&gt;K10,J10,K10)/4</f>
        <v>38940</v>
      </c>
      <c r="F10" s="25" t="s">
        <v>53</v>
      </c>
      <c r="G10" s="26">
        <v>2003</v>
      </c>
      <c r="H10" s="26">
        <v>51.92</v>
      </c>
      <c r="I10" s="27">
        <v>3000</v>
      </c>
      <c r="J10" s="24">
        <f>I10*H10</f>
        <v>155760</v>
      </c>
      <c r="K10" s="28">
        <v>18484</v>
      </c>
      <c r="L10" s="26" t="s">
        <v>18</v>
      </c>
      <c r="M10" s="25" t="s">
        <v>18</v>
      </c>
      <c r="N10" s="25" t="s">
        <v>18</v>
      </c>
      <c r="O10" s="26"/>
      <c r="P10" s="26"/>
      <c r="Q10" s="41"/>
    </row>
    <row r="11" spans="1:17" s="5" customFormat="1">
      <c r="A11" s="5" t="s">
        <v>42</v>
      </c>
      <c r="B11" s="324"/>
      <c r="C11" s="316"/>
      <c r="D11" s="39" t="s">
        <v>65</v>
      </c>
      <c r="E11" s="153">
        <f t="shared" si="0"/>
        <v>31892</v>
      </c>
      <c r="F11" s="25" t="s">
        <v>45</v>
      </c>
      <c r="G11" s="26">
        <v>2004</v>
      </c>
      <c r="H11" s="26">
        <v>0</v>
      </c>
      <c r="I11" s="27">
        <v>3000</v>
      </c>
      <c r="J11" s="24">
        <f t="shared" si="1"/>
        <v>0</v>
      </c>
      <c r="K11" s="28">
        <v>31892</v>
      </c>
      <c r="L11" s="26" t="s">
        <v>18</v>
      </c>
      <c r="M11" s="25" t="s">
        <v>18</v>
      </c>
      <c r="N11" s="25" t="s">
        <v>18</v>
      </c>
      <c r="O11" s="26"/>
      <c r="P11" s="26"/>
      <c r="Q11" s="41"/>
    </row>
    <row r="12" spans="1:17" s="5" customFormat="1">
      <c r="A12" s="5" t="s">
        <v>42</v>
      </c>
      <c r="B12" s="324"/>
      <c r="C12" s="316"/>
      <c r="D12" s="39" t="s">
        <v>145</v>
      </c>
      <c r="E12" s="153">
        <f t="shared" si="0"/>
        <v>980000</v>
      </c>
      <c r="F12" s="25" t="s">
        <v>53</v>
      </c>
      <c r="G12" s="26"/>
      <c r="H12" s="26">
        <v>490</v>
      </c>
      <c r="I12" s="27">
        <v>2000</v>
      </c>
      <c r="J12" s="24">
        <f t="shared" si="1"/>
        <v>980000</v>
      </c>
      <c r="K12" s="28">
        <v>135206.54</v>
      </c>
      <c r="L12" s="26"/>
      <c r="M12" s="25"/>
      <c r="N12" s="25"/>
      <c r="O12" s="26"/>
      <c r="P12" s="26"/>
      <c r="Q12" s="41"/>
    </row>
    <row r="13" spans="1:17" s="5" customFormat="1">
      <c r="A13" s="5" t="s">
        <v>42</v>
      </c>
      <c r="B13" s="324"/>
      <c r="C13" s="316"/>
      <c r="D13" s="39" t="s">
        <v>146</v>
      </c>
      <c r="E13" s="153">
        <f t="shared" si="0"/>
        <v>32000</v>
      </c>
      <c r="F13" s="25" t="s">
        <v>53</v>
      </c>
      <c r="G13" s="26"/>
      <c r="H13" s="26">
        <v>40</v>
      </c>
      <c r="I13" s="27">
        <v>1000</v>
      </c>
      <c r="J13" s="24">
        <v>32000</v>
      </c>
      <c r="K13" s="28">
        <v>3323</v>
      </c>
      <c r="L13" s="26"/>
      <c r="M13" s="25"/>
      <c r="N13" s="25"/>
      <c r="O13" s="26"/>
      <c r="P13" s="26"/>
      <c r="Q13" s="41"/>
    </row>
    <row r="14" spans="1:17" s="5" customFormat="1">
      <c r="A14" s="5" t="s">
        <v>42</v>
      </c>
      <c r="B14" s="324"/>
      <c r="C14" s="316"/>
      <c r="D14" s="39" t="s">
        <v>66</v>
      </c>
      <c r="E14" s="153">
        <f t="shared" si="0"/>
        <v>575060</v>
      </c>
      <c r="F14" s="25" t="s">
        <v>53</v>
      </c>
      <c r="G14" s="26">
        <v>2013</v>
      </c>
      <c r="H14" s="26">
        <v>287.52999999999997</v>
      </c>
      <c r="I14" s="27">
        <v>2000</v>
      </c>
      <c r="J14" s="24">
        <f>I14*H14</f>
        <v>575060</v>
      </c>
      <c r="K14" s="28">
        <v>24710</v>
      </c>
      <c r="L14" s="26" t="s">
        <v>18</v>
      </c>
      <c r="M14" s="25" t="s">
        <v>18</v>
      </c>
      <c r="N14" s="25" t="s">
        <v>18</v>
      </c>
      <c r="O14" s="26"/>
      <c r="P14" s="26"/>
      <c r="Q14" s="41"/>
    </row>
    <row r="15" spans="1:17" s="5" customFormat="1">
      <c r="A15" s="5" t="s">
        <v>42</v>
      </c>
      <c r="B15" s="324"/>
      <c r="C15" s="316"/>
      <c r="D15" s="39" t="s">
        <v>67</v>
      </c>
      <c r="E15" s="153">
        <f t="shared" si="0"/>
        <v>35800</v>
      </c>
      <c r="F15" s="25" t="s">
        <v>53</v>
      </c>
      <c r="G15" s="26">
        <v>2013</v>
      </c>
      <c r="H15" s="26">
        <v>35.799999999999997</v>
      </c>
      <c r="I15" s="27">
        <v>1000</v>
      </c>
      <c r="J15" s="24">
        <f t="shared" si="1"/>
        <v>35800</v>
      </c>
      <c r="K15" s="28">
        <v>9476</v>
      </c>
      <c r="L15" s="26" t="s">
        <v>18</v>
      </c>
      <c r="M15" s="25" t="s">
        <v>18</v>
      </c>
      <c r="N15" s="25" t="s">
        <v>18</v>
      </c>
      <c r="O15" s="26"/>
      <c r="P15" s="26"/>
      <c r="Q15" s="41"/>
    </row>
    <row r="16" spans="1:17" s="5" customFormat="1">
      <c r="A16" s="5" t="s">
        <v>42</v>
      </c>
      <c r="B16" s="324"/>
      <c r="C16" s="316"/>
      <c r="D16" s="39" t="s">
        <v>68</v>
      </c>
      <c r="E16" s="153">
        <f t="shared" si="0"/>
        <v>410000</v>
      </c>
      <c r="F16" s="25" t="s">
        <v>53</v>
      </c>
      <c r="G16" s="26">
        <v>1980</v>
      </c>
      <c r="H16" s="26">
        <v>410</v>
      </c>
      <c r="I16" s="27">
        <v>1000</v>
      </c>
      <c r="J16" s="24">
        <f t="shared" si="1"/>
        <v>410000</v>
      </c>
      <c r="K16" s="28">
        <v>358342.37</v>
      </c>
      <c r="L16" s="26" t="s">
        <v>18</v>
      </c>
      <c r="M16" s="25" t="s">
        <v>18</v>
      </c>
      <c r="N16" s="25" t="s">
        <v>18</v>
      </c>
      <c r="O16" s="26"/>
      <c r="P16" s="26"/>
      <c r="Q16" s="41"/>
    </row>
    <row r="17" spans="1:17" s="5" customFormat="1">
      <c r="A17" s="5" t="s">
        <v>42</v>
      </c>
      <c r="B17" s="324"/>
      <c r="C17" s="316"/>
      <c r="D17" s="39" t="s">
        <v>69</v>
      </c>
      <c r="E17" s="153">
        <f t="shared" si="0"/>
        <v>642215.05000000005</v>
      </c>
      <c r="F17" s="25" t="s">
        <v>45</v>
      </c>
      <c r="G17" s="26">
        <v>1987</v>
      </c>
      <c r="H17" s="26">
        <v>243</v>
      </c>
      <c r="I17" s="27">
        <v>1000</v>
      </c>
      <c r="J17" s="24">
        <f t="shared" si="1"/>
        <v>243000</v>
      </c>
      <c r="K17" s="28">
        <v>642215.05000000005</v>
      </c>
      <c r="L17" s="26" t="s">
        <v>18</v>
      </c>
      <c r="M17" s="25" t="s">
        <v>18</v>
      </c>
      <c r="N17" s="25" t="s">
        <v>18</v>
      </c>
      <c r="O17" s="26"/>
      <c r="P17" s="26"/>
      <c r="Q17" s="41"/>
    </row>
    <row r="18" spans="1:17" s="5" customFormat="1">
      <c r="A18" s="5" t="s">
        <v>42</v>
      </c>
      <c r="B18" s="324"/>
      <c r="C18" s="316"/>
      <c r="D18" s="39" t="s">
        <v>70</v>
      </c>
      <c r="E18" s="153">
        <f t="shared" si="0"/>
        <v>512844.75</v>
      </c>
      <c r="F18" s="25" t="s">
        <v>45</v>
      </c>
      <c r="G18" s="26">
        <v>1984</v>
      </c>
      <c r="H18" s="26">
        <v>428</v>
      </c>
      <c r="I18" s="27">
        <v>1000</v>
      </c>
      <c r="J18" s="24">
        <f t="shared" si="1"/>
        <v>428000</v>
      </c>
      <c r="K18" s="28">
        <v>512844.75</v>
      </c>
      <c r="L18" s="26" t="s">
        <v>18</v>
      </c>
      <c r="M18" s="25" t="s">
        <v>18</v>
      </c>
      <c r="N18" s="25" t="s">
        <v>18</v>
      </c>
      <c r="O18" s="26"/>
      <c r="P18" s="26"/>
      <c r="Q18" s="41"/>
    </row>
    <row r="19" spans="1:17" s="5" customFormat="1">
      <c r="A19" s="5" t="s">
        <v>42</v>
      </c>
      <c r="B19" s="324"/>
      <c r="C19" s="316"/>
      <c r="D19" s="39" t="s">
        <v>71</v>
      </c>
      <c r="E19" s="153">
        <f t="shared" si="0"/>
        <v>225000</v>
      </c>
      <c r="F19" s="25" t="s">
        <v>53</v>
      </c>
      <c r="G19" s="26">
        <v>1959</v>
      </c>
      <c r="H19" s="26">
        <v>225</v>
      </c>
      <c r="I19" s="27">
        <v>1000</v>
      </c>
      <c r="J19" s="24">
        <f t="shared" si="1"/>
        <v>225000</v>
      </c>
      <c r="K19" s="28">
        <v>49244.3</v>
      </c>
      <c r="L19" s="26" t="s">
        <v>18</v>
      </c>
      <c r="M19" s="25" t="s">
        <v>18</v>
      </c>
      <c r="N19" s="25" t="s">
        <v>18</v>
      </c>
      <c r="O19" s="26"/>
      <c r="P19" s="26"/>
      <c r="Q19" s="41"/>
    </row>
    <row r="20" spans="1:17" s="5" customFormat="1">
      <c r="A20" s="5" t="s">
        <v>42</v>
      </c>
      <c r="B20" s="324"/>
      <c r="C20" s="316"/>
      <c r="D20" s="39" t="s">
        <v>72</v>
      </c>
      <c r="E20" s="153">
        <f t="shared" si="0"/>
        <v>360000</v>
      </c>
      <c r="F20" s="25" t="s">
        <v>53</v>
      </c>
      <c r="G20" s="26">
        <v>1954</v>
      </c>
      <c r="H20" s="26">
        <v>360</v>
      </c>
      <c r="I20" s="27">
        <v>1000</v>
      </c>
      <c r="J20" s="24">
        <f t="shared" si="1"/>
        <v>360000</v>
      </c>
      <c r="K20" s="28">
        <v>43951.96</v>
      </c>
      <c r="L20" s="26" t="s">
        <v>18</v>
      </c>
      <c r="M20" s="25" t="s">
        <v>18</v>
      </c>
      <c r="N20" s="25" t="s">
        <v>18</v>
      </c>
      <c r="O20" s="26"/>
      <c r="P20" s="26"/>
      <c r="Q20" s="41"/>
    </row>
    <row r="21" spans="1:17" s="5" customFormat="1">
      <c r="A21" s="5" t="s">
        <v>42</v>
      </c>
      <c r="B21" s="324"/>
      <c r="C21" s="316"/>
      <c r="D21" s="39" t="s">
        <v>73</v>
      </c>
      <c r="E21" s="153">
        <f t="shared" si="0"/>
        <v>263500</v>
      </c>
      <c r="F21" s="25" t="s">
        <v>53</v>
      </c>
      <c r="G21" s="26">
        <v>1975</v>
      </c>
      <c r="H21" s="26">
        <v>263.5</v>
      </c>
      <c r="I21" s="27">
        <v>1000</v>
      </c>
      <c r="J21" s="24">
        <f t="shared" si="1"/>
        <v>263500</v>
      </c>
      <c r="K21" s="28">
        <v>38415.47</v>
      </c>
      <c r="L21" s="26" t="s">
        <v>18</v>
      </c>
      <c r="M21" s="25" t="s">
        <v>18</v>
      </c>
      <c r="N21" s="25" t="s">
        <v>18</v>
      </c>
      <c r="O21" s="26"/>
      <c r="P21" s="26"/>
      <c r="Q21" s="41"/>
    </row>
    <row r="22" spans="1:17" s="5" customFormat="1">
      <c r="A22" s="5" t="s">
        <v>42</v>
      </c>
      <c r="B22" s="324"/>
      <c r="C22" s="316"/>
      <c r="D22" s="39" t="s">
        <v>74</v>
      </c>
      <c r="E22" s="153">
        <f t="shared" si="0"/>
        <v>288000</v>
      </c>
      <c r="F22" s="25" t="s">
        <v>53</v>
      </c>
      <c r="G22" s="26">
        <v>1963</v>
      </c>
      <c r="H22" s="26">
        <v>288</v>
      </c>
      <c r="I22" s="27">
        <v>1000</v>
      </c>
      <c r="J22" s="24">
        <f t="shared" si="1"/>
        <v>288000</v>
      </c>
      <c r="K22" s="28">
        <v>62166.97</v>
      </c>
      <c r="L22" s="26" t="s">
        <v>18</v>
      </c>
      <c r="M22" s="25" t="s">
        <v>18</v>
      </c>
      <c r="N22" s="25" t="s">
        <v>18</v>
      </c>
      <c r="O22" s="26"/>
      <c r="P22" s="26"/>
      <c r="Q22" s="41"/>
    </row>
    <row r="23" spans="1:17" s="5" customFormat="1">
      <c r="A23" s="5" t="s">
        <v>42</v>
      </c>
      <c r="B23" s="324"/>
      <c r="C23" s="316"/>
      <c r="D23" s="39" t="s">
        <v>75</v>
      </c>
      <c r="E23" s="153">
        <f t="shared" si="0"/>
        <v>603284.67000000004</v>
      </c>
      <c r="F23" s="25" t="s">
        <v>45</v>
      </c>
      <c r="G23" s="26">
        <v>1992</v>
      </c>
      <c r="H23" s="26">
        <v>580</v>
      </c>
      <c r="I23" s="27">
        <v>1000</v>
      </c>
      <c r="J23" s="24">
        <f t="shared" si="1"/>
        <v>580000</v>
      </c>
      <c r="K23" s="28">
        <v>603284.67000000004</v>
      </c>
      <c r="L23" s="26" t="s">
        <v>18</v>
      </c>
      <c r="M23" s="25" t="s">
        <v>18</v>
      </c>
      <c r="N23" s="25" t="s">
        <v>18</v>
      </c>
      <c r="O23" s="26"/>
      <c r="P23" s="26"/>
      <c r="Q23" s="41"/>
    </row>
    <row r="24" spans="1:17" s="5" customFormat="1">
      <c r="A24" s="5" t="s">
        <v>42</v>
      </c>
      <c r="B24" s="324"/>
      <c r="C24" s="316"/>
      <c r="D24" s="39" t="s">
        <v>76</v>
      </c>
      <c r="E24" s="153">
        <f t="shared" si="0"/>
        <v>362000</v>
      </c>
      <c r="F24" s="25" t="s">
        <v>53</v>
      </c>
      <c r="G24" s="26">
        <v>1994</v>
      </c>
      <c r="H24" s="26">
        <v>362</v>
      </c>
      <c r="I24" s="27">
        <v>1000</v>
      </c>
      <c r="J24" s="24">
        <f t="shared" si="1"/>
        <v>362000</v>
      </c>
      <c r="K24" s="28">
        <v>187528.02</v>
      </c>
      <c r="L24" s="26" t="s">
        <v>18</v>
      </c>
      <c r="M24" s="25" t="s">
        <v>18</v>
      </c>
      <c r="N24" s="25" t="s">
        <v>18</v>
      </c>
      <c r="O24" s="26"/>
      <c r="P24" s="26"/>
      <c r="Q24" s="41"/>
    </row>
    <row r="25" spans="1:17" s="5" customFormat="1">
      <c r="A25" s="5" t="s">
        <v>42</v>
      </c>
      <c r="B25" s="324"/>
      <c r="C25" s="316"/>
      <c r="D25" s="39" t="s">
        <v>77</v>
      </c>
      <c r="E25" s="153">
        <f t="shared" si="0"/>
        <v>359750</v>
      </c>
      <c r="F25" s="25" t="s">
        <v>53</v>
      </c>
      <c r="G25" s="26" t="s">
        <v>18</v>
      </c>
      <c r="H25" s="26">
        <v>359.75</v>
      </c>
      <c r="I25" s="27">
        <v>1000</v>
      </c>
      <c r="J25" s="24">
        <f t="shared" si="1"/>
        <v>359750</v>
      </c>
      <c r="K25" s="28">
        <v>243430.65</v>
      </c>
      <c r="L25" s="26" t="s">
        <v>18</v>
      </c>
      <c r="M25" s="25" t="s">
        <v>18</v>
      </c>
      <c r="N25" s="25" t="s">
        <v>18</v>
      </c>
      <c r="O25" s="26"/>
      <c r="P25" s="26"/>
      <c r="Q25" s="41"/>
    </row>
    <row r="26" spans="1:17" s="5" customFormat="1">
      <c r="A26" s="5" t="s">
        <v>42</v>
      </c>
      <c r="B26" s="324"/>
      <c r="C26" s="316"/>
      <c r="D26" s="39" t="s">
        <v>78</v>
      </c>
      <c r="E26" s="153">
        <f t="shared" ref="E26:E77" si="2">IF(J26&gt;K26,J26,K26)</f>
        <v>54614.94</v>
      </c>
      <c r="F26" s="25" t="s">
        <v>45</v>
      </c>
      <c r="G26" s="26" t="s">
        <v>18</v>
      </c>
      <c r="H26" s="26">
        <v>0</v>
      </c>
      <c r="I26" s="27">
        <v>1000</v>
      </c>
      <c r="J26" s="24">
        <f t="shared" si="1"/>
        <v>0</v>
      </c>
      <c r="K26" s="28">
        <v>54614.94</v>
      </c>
      <c r="L26" s="26" t="s">
        <v>18</v>
      </c>
      <c r="M26" s="25" t="s">
        <v>18</v>
      </c>
      <c r="N26" s="25" t="s">
        <v>18</v>
      </c>
      <c r="O26" s="26"/>
      <c r="P26" s="26"/>
      <c r="Q26" s="41"/>
    </row>
    <row r="27" spans="1:17" s="5" customFormat="1">
      <c r="A27" s="5" t="s">
        <v>42</v>
      </c>
      <c r="B27" s="324"/>
      <c r="C27" s="316"/>
      <c r="D27" s="39" t="s">
        <v>79</v>
      </c>
      <c r="E27" s="153">
        <f t="shared" si="2"/>
        <v>2160000</v>
      </c>
      <c r="F27" s="25" t="s">
        <v>53</v>
      </c>
      <c r="G27" s="26">
        <v>1971</v>
      </c>
      <c r="H27" s="26">
        <v>720</v>
      </c>
      <c r="I27" s="27">
        <v>3000</v>
      </c>
      <c r="J27" s="24">
        <f t="shared" si="1"/>
        <v>2160000</v>
      </c>
      <c r="K27" s="28">
        <v>1265786.45</v>
      </c>
      <c r="L27" s="26" t="s">
        <v>55</v>
      </c>
      <c r="M27" s="25" t="s">
        <v>18</v>
      </c>
      <c r="N27" s="25" t="s">
        <v>18</v>
      </c>
      <c r="O27" s="26" t="s">
        <v>48</v>
      </c>
      <c r="P27" s="26"/>
      <c r="Q27" s="41"/>
    </row>
    <row r="28" spans="1:17" s="5" customFormat="1">
      <c r="A28" s="5" t="s">
        <v>42</v>
      </c>
      <c r="B28" s="324"/>
      <c r="C28" s="316"/>
      <c r="D28" s="39" t="s">
        <v>80</v>
      </c>
      <c r="E28" s="153">
        <f t="shared" si="2"/>
        <v>108767.87</v>
      </c>
      <c r="F28" s="25" t="s">
        <v>45</v>
      </c>
      <c r="G28" s="26">
        <v>1997</v>
      </c>
      <c r="H28" s="26">
        <v>0</v>
      </c>
      <c r="I28" s="27">
        <v>3000</v>
      </c>
      <c r="J28" s="24">
        <f t="shared" si="1"/>
        <v>0</v>
      </c>
      <c r="K28" s="28">
        <v>108767.87</v>
      </c>
      <c r="L28" s="26" t="s">
        <v>18</v>
      </c>
      <c r="M28" s="25" t="s">
        <v>18</v>
      </c>
      <c r="N28" s="25" t="s">
        <v>18</v>
      </c>
      <c r="O28" s="26"/>
      <c r="P28" s="26"/>
      <c r="Q28" s="41"/>
    </row>
    <row r="29" spans="1:17" s="5" customFormat="1">
      <c r="A29" s="5" t="s">
        <v>42</v>
      </c>
      <c r="B29" s="324"/>
      <c r="C29" s="316"/>
      <c r="D29" s="39" t="s">
        <v>253</v>
      </c>
      <c r="E29" s="153">
        <f t="shared" si="2"/>
        <v>30000</v>
      </c>
      <c r="F29" s="25" t="s">
        <v>45</v>
      </c>
      <c r="G29" s="26">
        <v>2017</v>
      </c>
      <c r="H29" s="26"/>
      <c r="I29" s="27"/>
      <c r="J29" s="26"/>
      <c r="K29" s="25">
        <v>30000</v>
      </c>
      <c r="L29" s="25"/>
      <c r="M29" s="26" t="s">
        <v>18</v>
      </c>
      <c r="N29" s="26"/>
      <c r="O29" s="103"/>
      <c r="P29" s="23"/>
      <c r="Q29" s="23"/>
    </row>
    <row r="30" spans="1:17" s="152" customFormat="1" ht="27.6">
      <c r="A30" s="152" t="s">
        <v>42</v>
      </c>
      <c r="B30" s="324"/>
      <c r="C30" s="316"/>
      <c r="D30" s="277" t="s">
        <v>336</v>
      </c>
      <c r="E30" s="153">
        <f t="shared" si="2"/>
        <v>7509</v>
      </c>
      <c r="F30" s="239" t="s">
        <v>45</v>
      </c>
      <c r="G30" s="205">
        <v>2018</v>
      </c>
      <c r="H30" s="205"/>
      <c r="I30" s="206"/>
      <c r="J30" s="205"/>
      <c r="K30" s="239">
        <v>7509</v>
      </c>
      <c r="L30" s="239" t="s">
        <v>18</v>
      </c>
      <c r="M30" s="239" t="s">
        <v>18</v>
      </c>
      <c r="N30" s="239" t="s">
        <v>18</v>
      </c>
      <c r="O30" s="254"/>
    </row>
    <row r="31" spans="1:17" s="5" customFormat="1">
      <c r="A31" s="5" t="s">
        <v>216</v>
      </c>
      <c r="B31" s="324"/>
      <c r="C31" s="316"/>
      <c r="D31" s="39" t="s">
        <v>81</v>
      </c>
      <c r="E31" s="24">
        <f t="shared" si="2"/>
        <v>4661</v>
      </c>
      <c r="F31" s="25" t="s">
        <v>45</v>
      </c>
      <c r="G31" s="26">
        <v>2004</v>
      </c>
      <c r="H31" s="26"/>
      <c r="I31" s="27"/>
      <c r="J31" s="24"/>
      <c r="K31" s="28">
        <v>4661</v>
      </c>
      <c r="L31" s="32" t="s">
        <v>18</v>
      </c>
      <c r="M31" s="51" t="s">
        <v>18</v>
      </c>
      <c r="N31" s="51" t="s">
        <v>18</v>
      </c>
      <c r="O31" s="32"/>
      <c r="P31" s="32"/>
      <c r="Q31" s="53"/>
    </row>
    <row r="32" spans="1:17" s="5" customFormat="1">
      <c r="A32" s="5" t="s">
        <v>216</v>
      </c>
      <c r="B32" s="324"/>
      <c r="C32" s="316"/>
      <c r="D32" s="39" t="s">
        <v>82</v>
      </c>
      <c r="E32" s="24">
        <f t="shared" si="2"/>
        <v>6332.65</v>
      </c>
      <c r="F32" s="25" t="s">
        <v>45</v>
      </c>
      <c r="G32" s="26">
        <v>2014</v>
      </c>
      <c r="H32" s="26"/>
      <c r="I32" s="27"/>
      <c r="J32" s="24"/>
      <c r="K32" s="28">
        <v>6332.65</v>
      </c>
      <c r="L32" s="32"/>
      <c r="M32" s="51"/>
      <c r="N32" s="51"/>
      <c r="O32" s="32"/>
      <c r="P32" s="32"/>
      <c r="Q32" s="53"/>
    </row>
    <row r="33" spans="1:17" s="5" customFormat="1">
      <c r="A33" s="5" t="s">
        <v>216</v>
      </c>
      <c r="B33" s="324"/>
      <c r="C33" s="316"/>
      <c r="D33" s="39" t="s">
        <v>82</v>
      </c>
      <c r="E33" s="24">
        <f t="shared" si="2"/>
        <v>4417</v>
      </c>
      <c r="F33" s="25" t="s">
        <v>45</v>
      </c>
      <c r="G33" s="26" t="s">
        <v>18</v>
      </c>
      <c r="H33" s="26"/>
      <c r="I33" s="27"/>
      <c r="J33" s="24"/>
      <c r="K33" s="28">
        <v>4417</v>
      </c>
      <c r="L33" s="32"/>
      <c r="M33" s="51"/>
      <c r="N33" s="51"/>
      <c r="O33" s="32"/>
      <c r="P33" s="32"/>
      <c r="Q33" s="53"/>
    </row>
    <row r="34" spans="1:17" s="5" customFormat="1">
      <c r="A34" s="5" t="s">
        <v>216</v>
      </c>
      <c r="B34" s="324"/>
      <c r="C34" s="316"/>
      <c r="D34" s="39" t="s">
        <v>82</v>
      </c>
      <c r="E34" s="24">
        <f t="shared" si="2"/>
        <v>4800</v>
      </c>
      <c r="F34" s="25" t="s">
        <v>45</v>
      </c>
      <c r="G34" s="26">
        <v>2011</v>
      </c>
      <c r="H34" s="26"/>
      <c r="I34" s="27"/>
      <c r="J34" s="24"/>
      <c r="K34" s="28">
        <v>4800</v>
      </c>
      <c r="L34" s="32"/>
      <c r="M34" s="51"/>
      <c r="N34" s="51"/>
      <c r="O34" s="32"/>
      <c r="P34" s="32"/>
      <c r="Q34" s="53"/>
    </row>
    <row r="35" spans="1:17" s="5" customFormat="1">
      <c r="A35" s="5" t="s">
        <v>216</v>
      </c>
      <c r="B35" s="324"/>
      <c r="C35" s="316"/>
      <c r="D35" s="39" t="s">
        <v>83</v>
      </c>
      <c r="E35" s="24">
        <f t="shared" si="2"/>
        <v>4417.01</v>
      </c>
      <c r="F35" s="25" t="s">
        <v>45</v>
      </c>
      <c r="G35" s="26">
        <v>2004</v>
      </c>
      <c r="H35" s="26"/>
      <c r="I35" s="27"/>
      <c r="J35" s="24"/>
      <c r="K35" s="28">
        <v>4417.01</v>
      </c>
      <c r="L35" s="32"/>
      <c r="M35" s="51"/>
      <c r="N35" s="51"/>
      <c r="O35" s="32"/>
      <c r="P35" s="32"/>
      <c r="Q35" s="53"/>
    </row>
    <row r="36" spans="1:17" s="5" customFormat="1">
      <c r="A36" s="5" t="s">
        <v>216</v>
      </c>
      <c r="B36" s="324"/>
      <c r="C36" s="316"/>
      <c r="D36" s="39" t="s">
        <v>84</v>
      </c>
      <c r="E36" s="24">
        <f t="shared" si="2"/>
        <v>6982</v>
      </c>
      <c r="F36" s="25" t="s">
        <v>45</v>
      </c>
      <c r="G36" s="26">
        <v>2005</v>
      </c>
      <c r="H36" s="26"/>
      <c r="I36" s="27"/>
      <c r="J36" s="24"/>
      <c r="K36" s="28">
        <v>6982</v>
      </c>
      <c r="L36" s="32"/>
      <c r="M36" s="51"/>
      <c r="N36" s="51"/>
      <c r="O36" s="32"/>
      <c r="P36" s="32"/>
      <c r="Q36" s="53"/>
    </row>
    <row r="37" spans="1:17" s="5" customFormat="1">
      <c r="A37" s="5" t="s">
        <v>216</v>
      </c>
      <c r="B37" s="324"/>
      <c r="C37" s="316"/>
      <c r="D37" s="39" t="s">
        <v>85</v>
      </c>
      <c r="E37" s="24">
        <f t="shared" si="2"/>
        <v>8982</v>
      </c>
      <c r="F37" s="25" t="s">
        <v>45</v>
      </c>
      <c r="G37" s="26">
        <v>2005</v>
      </c>
      <c r="H37" s="26"/>
      <c r="I37" s="27"/>
      <c r="J37" s="24"/>
      <c r="K37" s="28">
        <v>8982</v>
      </c>
      <c r="L37" s="32"/>
      <c r="M37" s="51"/>
      <c r="N37" s="51"/>
      <c r="O37" s="32"/>
      <c r="P37" s="32"/>
      <c r="Q37" s="53"/>
    </row>
    <row r="38" spans="1:17" s="5" customFormat="1">
      <c r="A38" s="5" t="s">
        <v>216</v>
      </c>
      <c r="B38" s="324"/>
      <c r="C38" s="316"/>
      <c r="D38" s="39" t="s">
        <v>86</v>
      </c>
      <c r="E38" s="24">
        <f t="shared" si="2"/>
        <v>4924.42</v>
      </c>
      <c r="F38" s="25" t="s">
        <v>45</v>
      </c>
      <c r="G38" s="26">
        <v>2005</v>
      </c>
      <c r="H38" s="26"/>
      <c r="I38" s="27"/>
      <c r="J38" s="24"/>
      <c r="K38" s="28">
        <v>4924.42</v>
      </c>
      <c r="L38" s="32"/>
      <c r="M38" s="51"/>
      <c r="N38" s="51"/>
      <c r="O38" s="32"/>
      <c r="P38" s="32"/>
      <c r="Q38" s="53"/>
    </row>
    <row r="39" spans="1:17" s="5" customFormat="1">
      <c r="A39" s="5" t="s">
        <v>216</v>
      </c>
      <c r="B39" s="324"/>
      <c r="C39" s="316"/>
      <c r="D39" s="39" t="s">
        <v>87</v>
      </c>
      <c r="E39" s="24">
        <f t="shared" si="2"/>
        <v>4682</v>
      </c>
      <c r="F39" s="25" t="s">
        <v>45</v>
      </c>
      <c r="G39" s="26">
        <v>2006</v>
      </c>
      <c r="H39" s="26"/>
      <c r="I39" s="27"/>
      <c r="J39" s="24"/>
      <c r="K39" s="28">
        <v>4682</v>
      </c>
      <c r="L39" s="32"/>
      <c r="M39" s="51"/>
      <c r="N39" s="51"/>
      <c r="O39" s="32"/>
      <c r="P39" s="32"/>
      <c r="Q39" s="53"/>
    </row>
    <row r="40" spans="1:17" s="5" customFormat="1">
      <c r="A40" s="5" t="s">
        <v>216</v>
      </c>
      <c r="B40" s="324"/>
      <c r="C40" s="316"/>
      <c r="D40" s="39" t="s">
        <v>88</v>
      </c>
      <c r="E40" s="24">
        <f t="shared" si="2"/>
        <v>6421.22</v>
      </c>
      <c r="F40" s="25" t="s">
        <v>45</v>
      </c>
      <c r="G40" s="26">
        <v>2014</v>
      </c>
      <c r="H40" s="26"/>
      <c r="I40" s="27"/>
      <c r="J40" s="24"/>
      <c r="K40" s="28">
        <v>6421.22</v>
      </c>
      <c r="L40" s="32"/>
      <c r="M40" s="51"/>
      <c r="N40" s="51"/>
      <c r="O40" s="32"/>
      <c r="P40" s="32"/>
      <c r="Q40" s="53"/>
    </row>
    <row r="41" spans="1:17" s="5" customFormat="1">
      <c r="A41" s="5" t="s">
        <v>216</v>
      </c>
      <c r="B41" s="324"/>
      <c r="C41" s="316"/>
      <c r="D41" s="39" t="s">
        <v>237</v>
      </c>
      <c r="E41" s="24">
        <f t="shared" si="2"/>
        <v>10134.5</v>
      </c>
      <c r="F41" s="25" t="s">
        <v>45</v>
      </c>
      <c r="G41" s="26">
        <v>2016</v>
      </c>
      <c r="H41" s="26"/>
      <c r="I41" s="27"/>
      <c r="J41" s="24"/>
      <c r="K41" s="28">
        <v>10134.5</v>
      </c>
      <c r="L41" s="32"/>
      <c r="M41" s="51"/>
      <c r="N41" s="51"/>
      <c r="O41" s="32"/>
      <c r="P41" s="32"/>
      <c r="Q41" s="53"/>
    </row>
    <row r="42" spans="1:17" s="5" customFormat="1">
      <c r="A42" s="5" t="s">
        <v>216</v>
      </c>
      <c r="B42" s="324"/>
      <c r="C42" s="316"/>
      <c r="D42" s="39" t="s">
        <v>87</v>
      </c>
      <c r="E42" s="24">
        <f t="shared" si="2"/>
        <v>6332.66</v>
      </c>
      <c r="F42" s="25" t="s">
        <v>45</v>
      </c>
      <c r="G42" s="26">
        <v>2014</v>
      </c>
      <c r="H42" s="26"/>
      <c r="I42" s="27"/>
      <c r="J42" s="24"/>
      <c r="K42" s="28">
        <v>6332.66</v>
      </c>
      <c r="L42" s="32"/>
      <c r="M42" s="51"/>
      <c r="N42" s="51"/>
      <c r="O42" s="32"/>
      <c r="P42" s="32"/>
      <c r="Q42" s="53"/>
    </row>
    <row r="43" spans="1:17" s="5" customFormat="1">
      <c r="A43" s="5" t="s">
        <v>216</v>
      </c>
      <c r="B43" s="324"/>
      <c r="C43" s="316"/>
      <c r="D43" s="39" t="s">
        <v>89</v>
      </c>
      <c r="E43" s="24">
        <f t="shared" si="2"/>
        <v>5566</v>
      </c>
      <c r="F43" s="25" t="s">
        <v>45</v>
      </c>
      <c r="G43" s="26">
        <v>1969</v>
      </c>
      <c r="H43" s="26"/>
      <c r="I43" s="27"/>
      <c r="J43" s="24"/>
      <c r="K43" s="28">
        <v>5566</v>
      </c>
      <c r="L43" s="32"/>
      <c r="M43" s="51"/>
      <c r="N43" s="51"/>
      <c r="O43" s="32"/>
      <c r="P43" s="32"/>
      <c r="Q43" s="53"/>
    </row>
    <row r="44" spans="1:17" s="5" customFormat="1">
      <c r="A44" s="5" t="s">
        <v>216</v>
      </c>
      <c r="B44" s="324"/>
      <c r="C44" s="316"/>
      <c r="D44" s="39" t="s">
        <v>90</v>
      </c>
      <c r="E44" s="24">
        <f t="shared" si="2"/>
        <v>6322.59</v>
      </c>
      <c r="F44" s="25" t="s">
        <v>45</v>
      </c>
      <c r="G44" s="26">
        <v>1972</v>
      </c>
      <c r="H44" s="26"/>
      <c r="I44" s="27"/>
      <c r="J44" s="24"/>
      <c r="K44" s="28">
        <v>6322.59</v>
      </c>
      <c r="L44" s="32"/>
      <c r="M44" s="51"/>
      <c r="N44" s="51"/>
      <c r="O44" s="32"/>
      <c r="P44" s="32"/>
      <c r="Q44" s="53"/>
    </row>
    <row r="45" spans="1:17" s="5" customFormat="1">
      <c r="A45" s="5" t="s">
        <v>216</v>
      </c>
      <c r="B45" s="324"/>
      <c r="C45" s="316"/>
      <c r="D45" s="39" t="s">
        <v>91</v>
      </c>
      <c r="E45" s="24">
        <f t="shared" si="2"/>
        <v>49984.19</v>
      </c>
      <c r="F45" s="25" t="s">
        <v>45</v>
      </c>
      <c r="G45" s="26">
        <v>1997</v>
      </c>
      <c r="H45" s="26"/>
      <c r="I45" s="27"/>
      <c r="J45" s="24"/>
      <c r="K45" s="28">
        <v>49984.19</v>
      </c>
      <c r="L45" s="32"/>
      <c r="M45" s="51"/>
      <c r="N45" s="51"/>
      <c r="O45" s="32"/>
      <c r="P45" s="32"/>
      <c r="Q45" s="53"/>
    </row>
    <row r="46" spans="1:17" s="5" customFormat="1">
      <c r="A46" s="5" t="s">
        <v>216</v>
      </c>
      <c r="B46" s="324"/>
      <c r="C46" s="316"/>
      <c r="D46" s="39" t="s">
        <v>238</v>
      </c>
      <c r="E46" s="24">
        <f t="shared" si="2"/>
        <v>106832.52</v>
      </c>
      <c r="F46" s="25" t="s">
        <v>45</v>
      </c>
      <c r="G46" s="26">
        <v>1997</v>
      </c>
      <c r="H46" s="26"/>
      <c r="I46" s="27"/>
      <c r="J46" s="24"/>
      <c r="K46" s="28">
        <v>106832.52</v>
      </c>
      <c r="L46" s="32"/>
      <c r="M46" s="51"/>
      <c r="N46" s="51"/>
      <c r="O46" s="32"/>
      <c r="P46" s="32"/>
      <c r="Q46" s="53"/>
    </row>
    <row r="47" spans="1:17" s="5" customFormat="1">
      <c r="A47" s="5" t="s">
        <v>216</v>
      </c>
      <c r="B47" s="324"/>
      <c r="C47" s="316"/>
      <c r="D47" s="39" t="s">
        <v>92</v>
      </c>
      <c r="E47" s="24">
        <f t="shared" si="2"/>
        <v>119636.49</v>
      </c>
      <c r="F47" s="25" t="s">
        <v>45</v>
      </c>
      <c r="G47" s="26">
        <v>2003</v>
      </c>
      <c r="H47" s="26"/>
      <c r="I47" s="27"/>
      <c r="J47" s="24"/>
      <c r="K47" s="28">
        <v>119636.49</v>
      </c>
      <c r="L47" s="32"/>
      <c r="M47" s="51"/>
      <c r="N47" s="51"/>
      <c r="O47" s="32"/>
      <c r="P47" s="32"/>
      <c r="Q47" s="53"/>
    </row>
    <row r="48" spans="1:17" s="5" customFormat="1">
      <c r="A48" s="5" t="s">
        <v>216</v>
      </c>
      <c r="B48" s="324"/>
      <c r="C48" s="316"/>
      <c r="D48" s="39" t="s">
        <v>93</v>
      </c>
      <c r="E48" s="24">
        <f t="shared" si="2"/>
        <v>60661.04</v>
      </c>
      <c r="F48" s="25" t="s">
        <v>45</v>
      </c>
      <c r="G48" s="26">
        <v>2006</v>
      </c>
      <c r="H48" s="26"/>
      <c r="I48" s="27"/>
      <c r="J48" s="24"/>
      <c r="K48" s="28">
        <v>60661.04</v>
      </c>
      <c r="L48" s="32"/>
      <c r="M48" s="51"/>
      <c r="N48" s="51"/>
      <c r="O48" s="32"/>
      <c r="P48" s="32"/>
      <c r="Q48" s="53"/>
    </row>
    <row r="49" spans="1:17" s="5" customFormat="1">
      <c r="A49" s="5" t="s">
        <v>216</v>
      </c>
      <c r="B49" s="324"/>
      <c r="C49" s="316"/>
      <c r="D49" s="39" t="s">
        <v>94</v>
      </c>
      <c r="E49" s="24">
        <f t="shared" si="2"/>
        <v>159922.72</v>
      </c>
      <c r="F49" s="25" t="s">
        <v>45</v>
      </c>
      <c r="G49" s="26">
        <v>2006</v>
      </c>
      <c r="H49" s="26"/>
      <c r="I49" s="27"/>
      <c r="J49" s="24"/>
      <c r="K49" s="28">
        <v>159922.72</v>
      </c>
      <c r="L49" s="32"/>
      <c r="M49" s="51"/>
      <c r="N49" s="51"/>
      <c r="O49" s="32"/>
      <c r="P49" s="32"/>
      <c r="Q49" s="53"/>
    </row>
    <row r="50" spans="1:17" s="5" customFormat="1" ht="41.4">
      <c r="A50" s="5" t="s">
        <v>216</v>
      </c>
      <c r="B50" s="324"/>
      <c r="C50" s="316"/>
      <c r="D50" s="39" t="s">
        <v>95</v>
      </c>
      <c r="E50" s="24">
        <f t="shared" si="2"/>
        <v>72456.28</v>
      </c>
      <c r="F50" s="25" t="s">
        <v>45</v>
      </c>
      <c r="G50" s="26">
        <v>2006</v>
      </c>
      <c r="H50" s="26"/>
      <c r="I50" s="27"/>
      <c r="J50" s="24"/>
      <c r="K50" s="28">
        <v>72456.28</v>
      </c>
      <c r="L50" s="32"/>
      <c r="M50" s="51"/>
      <c r="N50" s="51"/>
      <c r="O50" s="32"/>
      <c r="P50" s="32"/>
      <c r="Q50" s="53"/>
    </row>
    <row r="51" spans="1:17" s="5" customFormat="1" ht="27.6">
      <c r="A51" s="5" t="s">
        <v>216</v>
      </c>
      <c r="B51" s="324"/>
      <c r="C51" s="316"/>
      <c r="D51" s="39" t="s">
        <v>96</v>
      </c>
      <c r="E51" s="24">
        <f t="shared" si="2"/>
        <v>120673.84</v>
      </c>
      <c r="F51" s="25" t="s">
        <v>45</v>
      </c>
      <c r="G51" s="26">
        <v>2006</v>
      </c>
      <c r="H51" s="26"/>
      <c r="I51" s="27"/>
      <c r="J51" s="24"/>
      <c r="K51" s="28">
        <v>120673.84</v>
      </c>
      <c r="L51" s="32"/>
      <c r="M51" s="51"/>
      <c r="N51" s="51"/>
      <c r="O51" s="32"/>
      <c r="P51" s="32"/>
      <c r="Q51" s="53"/>
    </row>
    <row r="52" spans="1:17" s="5" customFormat="1">
      <c r="A52" s="5" t="s">
        <v>216</v>
      </c>
      <c r="B52" s="324"/>
      <c r="C52" s="316"/>
      <c r="D52" s="39" t="s">
        <v>97</v>
      </c>
      <c r="E52" s="24">
        <f t="shared" si="2"/>
        <v>39630</v>
      </c>
      <c r="F52" s="25" t="s">
        <v>45</v>
      </c>
      <c r="G52" s="26">
        <v>2007</v>
      </c>
      <c r="H52" s="26"/>
      <c r="I52" s="27"/>
      <c r="J52" s="24"/>
      <c r="K52" s="28">
        <v>39630</v>
      </c>
      <c r="L52" s="32"/>
      <c r="M52" s="51"/>
      <c r="N52" s="51"/>
      <c r="O52" s="32"/>
      <c r="P52" s="32"/>
      <c r="Q52" s="53"/>
    </row>
    <row r="53" spans="1:17" s="5" customFormat="1" ht="27.6">
      <c r="A53" s="5" t="s">
        <v>216</v>
      </c>
      <c r="B53" s="324"/>
      <c r="C53" s="316"/>
      <c r="D53" s="39" t="s">
        <v>98</v>
      </c>
      <c r="E53" s="24">
        <f t="shared" si="2"/>
        <v>44827.47</v>
      </c>
      <c r="F53" s="25" t="s">
        <v>45</v>
      </c>
      <c r="G53" s="26">
        <v>2009</v>
      </c>
      <c r="H53" s="26"/>
      <c r="I53" s="27"/>
      <c r="J53" s="24"/>
      <c r="K53" s="28">
        <v>44827.47</v>
      </c>
      <c r="L53" s="32"/>
      <c r="M53" s="51"/>
      <c r="N53" s="51"/>
      <c r="O53" s="32"/>
      <c r="P53" s="32"/>
      <c r="Q53" s="53"/>
    </row>
    <row r="54" spans="1:17" s="5" customFormat="1">
      <c r="A54" s="5" t="s">
        <v>216</v>
      </c>
      <c r="B54" s="324"/>
      <c r="C54" s="316"/>
      <c r="D54" s="278" t="s">
        <v>99</v>
      </c>
      <c r="E54" s="24">
        <f t="shared" si="2"/>
        <v>168006.01</v>
      </c>
      <c r="F54" s="25" t="s">
        <v>45</v>
      </c>
      <c r="G54" s="26">
        <v>2009</v>
      </c>
      <c r="H54" s="26"/>
      <c r="I54" s="27"/>
      <c r="J54" s="24"/>
      <c r="K54" s="28">
        <v>168006.01</v>
      </c>
      <c r="L54" s="32"/>
      <c r="M54" s="51"/>
      <c r="N54" s="51"/>
      <c r="O54" s="32"/>
      <c r="P54" s="32"/>
      <c r="Q54" s="53"/>
    </row>
    <row r="55" spans="1:17" s="5" customFormat="1">
      <c r="A55" s="5" t="s">
        <v>216</v>
      </c>
      <c r="B55" s="324"/>
      <c r="C55" s="316"/>
      <c r="D55" s="39" t="s">
        <v>100</v>
      </c>
      <c r="E55" s="24">
        <f t="shared" si="2"/>
        <v>53436.36</v>
      </c>
      <c r="F55" s="25" t="s">
        <v>45</v>
      </c>
      <c r="G55" s="26">
        <v>2010</v>
      </c>
      <c r="H55" s="26"/>
      <c r="I55" s="27"/>
      <c r="J55" s="24"/>
      <c r="K55" s="28">
        <v>53436.36</v>
      </c>
      <c r="L55" s="32"/>
      <c r="M55" s="51"/>
      <c r="N55" s="51"/>
      <c r="O55" s="32"/>
      <c r="P55" s="32"/>
      <c r="Q55" s="53"/>
    </row>
    <row r="56" spans="1:17" s="5" customFormat="1">
      <c r="A56" s="5" t="s">
        <v>216</v>
      </c>
      <c r="B56" s="324"/>
      <c r="C56" s="316"/>
      <c r="D56" s="39" t="s">
        <v>101</v>
      </c>
      <c r="E56" s="24">
        <f t="shared" si="2"/>
        <v>13910.67</v>
      </c>
      <c r="F56" s="25" t="s">
        <v>45</v>
      </c>
      <c r="G56" s="26">
        <v>2010</v>
      </c>
      <c r="H56" s="26"/>
      <c r="I56" s="27"/>
      <c r="J56" s="24"/>
      <c r="K56" s="28">
        <v>13910.67</v>
      </c>
      <c r="L56" s="32"/>
      <c r="M56" s="51"/>
      <c r="N56" s="51"/>
      <c r="O56" s="32"/>
      <c r="P56" s="32"/>
      <c r="Q56" s="53"/>
    </row>
    <row r="57" spans="1:17" s="5" customFormat="1">
      <c r="A57" s="5" t="s">
        <v>216</v>
      </c>
      <c r="B57" s="324"/>
      <c r="C57" s="316"/>
      <c r="D57" s="39" t="s">
        <v>102</v>
      </c>
      <c r="E57" s="24">
        <f t="shared" si="2"/>
        <v>53395.199999999997</v>
      </c>
      <c r="F57" s="25" t="s">
        <v>45</v>
      </c>
      <c r="G57" s="26">
        <v>2010</v>
      </c>
      <c r="H57" s="26"/>
      <c r="I57" s="27"/>
      <c r="J57" s="24"/>
      <c r="K57" s="28">
        <v>53395.199999999997</v>
      </c>
      <c r="L57" s="32"/>
      <c r="M57" s="51"/>
      <c r="N57" s="51"/>
      <c r="O57" s="32"/>
      <c r="P57" s="32"/>
      <c r="Q57" s="53"/>
    </row>
    <row r="58" spans="1:17" s="5" customFormat="1">
      <c r="A58" s="5" t="s">
        <v>216</v>
      </c>
      <c r="B58" s="324"/>
      <c r="C58" s="316"/>
      <c r="D58" s="39" t="s">
        <v>254</v>
      </c>
      <c r="E58" s="24">
        <f t="shared" si="2"/>
        <v>22706.66</v>
      </c>
      <c r="F58" s="25" t="s">
        <v>45</v>
      </c>
      <c r="G58" s="26">
        <v>2010</v>
      </c>
      <c r="H58" s="26"/>
      <c r="I58" s="27"/>
      <c r="J58" s="24"/>
      <c r="K58" s="28">
        <v>22706.66</v>
      </c>
      <c r="L58" s="32"/>
      <c r="M58" s="51"/>
      <c r="N58" s="51"/>
      <c r="O58" s="32"/>
      <c r="P58" s="32"/>
      <c r="Q58" s="53"/>
    </row>
    <row r="59" spans="1:17" s="5" customFormat="1">
      <c r="A59" s="5" t="s">
        <v>216</v>
      </c>
      <c r="B59" s="324"/>
      <c r="C59" s="316"/>
      <c r="D59" s="39" t="s">
        <v>103</v>
      </c>
      <c r="E59" s="24">
        <f t="shared" si="2"/>
        <v>18573.28</v>
      </c>
      <c r="F59" s="25" t="s">
        <v>45</v>
      </c>
      <c r="G59" s="26">
        <v>2010</v>
      </c>
      <c r="H59" s="26"/>
      <c r="I59" s="27"/>
      <c r="J59" s="24"/>
      <c r="K59" s="28">
        <v>18573.28</v>
      </c>
      <c r="L59" s="32"/>
      <c r="M59" s="51"/>
      <c r="N59" s="51"/>
      <c r="O59" s="32"/>
      <c r="P59" s="32"/>
      <c r="Q59" s="53"/>
    </row>
    <row r="60" spans="1:17" s="5" customFormat="1">
      <c r="A60" s="5" t="s">
        <v>216</v>
      </c>
      <c r="B60" s="324"/>
      <c r="C60" s="316"/>
      <c r="D60" s="39" t="s">
        <v>94</v>
      </c>
      <c r="E60" s="24">
        <f t="shared" si="2"/>
        <v>82257.679999999993</v>
      </c>
      <c r="F60" s="25" t="s">
        <v>45</v>
      </c>
      <c r="G60" s="26">
        <v>2010</v>
      </c>
      <c r="H60" s="26"/>
      <c r="I60" s="27"/>
      <c r="J60" s="24"/>
      <c r="K60" s="28">
        <v>82257.679999999993</v>
      </c>
      <c r="L60" s="32"/>
      <c r="M60" s="51"/>
      <c r="N60" s="51"/>
      <c r="O60" s="32"/>
      <c r="P60" s="32"/>
      <c r="Q60" s="53"/>
    </row>
    <row r="61" spans="1:17" s="5" customFormat="1">
      <c r="A61" s="5" t="s">
        <v>216</v>
      </c>
      <c r="B61" s="324"/>
      <c r="C61" s="316"/>
      <c r="D61" s="39" t="s">
        <v>104</v>
      </c>
      <c r="E61" s="24">
        <f t="shared" si="2"/>
        <v>30856.57</v>
      </c>
      <c r="F61" s="25" t="s">
        <v>45</v>
      </c>
      <c r="G61" s="26">
        <v>2010</v>
      </c>
      <c r="H61" s="26"/>
      <c r="I61" s="27"/>
      <c r="J61" s="24"/>
      <c r="K61" s="28">
        <v>30856.57</v>
      </c>
      <c r="L61" s="32"/>
      <c r="M61" s="51"/>
      <c r="N61" s="51"/>
      <c r="O61" s="32"/>
      <c r="P61" s="32"/>
      <c r="Q61" s="53"/>
    </row>
    <row r="62" spans="1:17" s="5" customFormat="1">
      <c r="A62" s="5" t="s">
        <v>216</v>
      </c>
      <c r="B62" s="324"/>
      <c r="C62" s="316"/>
      <c r="D62" s="39" t="s">
        <v>105</v>
      </c>
      <c r="E62" s="24">
        <f t="shared" si="2"/>
        <v>27425.53</v>
      </c>
      <c r="F62" s="25" t="s">
        <v>45</v>
      </c>
      <c r="G62" s="26">
        <v>2010</v>
      </c>
      <c r="H62" s="26"/>
      <c r="I62" s="27"/>
      <c r="J62" s="24"/>
      <c r="K62" s="28">
        <v>27425.53</v>
      </c>
      <c r="L62" s="32"/>
      <c r="M62" s="51"/>
      <c r="N62" s="51"/>
      <c r="O62" s="32"/>
      <c r="P62" s="32"/>
      <c r="Q62" s="53"/>
    </row>
    <row r="63" spans="1:17" s="5" customFormat="1">
      <c r="A63" s="5" t="s">
        <v>216</v>
      </c>
      <c r="B63" s="324"/>
      <c r="C63" s="316"/>
      <c r="D63" s="39" t="s">
        <v>106</v>
      </c>
      <c r="E63" s="24">
        <f t="shared" si="2"/>
        <v>12799.76</v>
      </c>
      <c r="F63" s="25" t="s">
        <v>45</v>
      </c>
      <c r="G63" s="26">
        <v>2012</v>
      </c>
      <c r="H63" s="26"/>
      <c r="I63" s="27"/>
      <c r="J63" s="24"/>
      <c r="K63" s="28">
        <v>12799.76</v>
      </c>
      <c r="L63" s="32" t="s">
        <v>18</v>
      </c>
      <c r="M63" s="51"/>
      <c r="N63" s="51"/>
      <c r="O63" s="32"/>
      <c r="P63" s="32"/>
      <c r="Q63" s="53"/>
    </row>
    <row r="64" spans="1:17" s="5" customFormat="1">
      <c r="A64" s="5" t="s">
        <v>216</v>
      </c>
      <c r="B64" s="324"/>
      <c r="C64" s="316"/>
      <c r="D64" s="39" t="s">
        <v>107</v>
      </c>
      <c r="E64" s="24">
        <f t="shared" si="2"/>
        <v>16954.349999999999</v>
      </c>
      <c r="F64" s="25" t="s">
        <v>45</v>
      </c>
      <c r="G64" s="26">
        <v>2012</v>
      </c>
      <c r="H64" s="26"/>
      <c r="I64" s="27"/>
      <c r="J64" s="24"/>
      <c r="K64" s="28">
        <v>16954.349999999999</v>
      </c>
      <c r="L64" s="32"/>
      <c r="M64" s="51"/>
      <c r="N64" s="51"/>
      <c r="O64" s="32"/>
      <c r="P64" s="32"/>
      <c r="Q64" s="53"/>
    </row>
    <row r="65" spans="1:17" s="5" customFormat="1">
      <c r="A65" s="5" t="s">
        <v>216</v>
      </c>
      <c r="B65" s="324"/>
      <c r="C65" s="316"/>
      <c r="D65" s="39" t="s">
        <v>108</v>
      </c>
      <c r="E65" s="24">
        <f t="shared" si="2"/>
        <v>11287.46</v>
      </c>
      <c r="F65" s="25" t="s">
        <v>45</v>
      </c>
      <c r="G65" s="26">
        <v>2012</v>
      </c>
      <c r="H65" s="26"/>
      <c r="I65" s="27"/>
      <c r="J65" s="24"/>
      <c r="K65" s="28">
        <v>11287.46</v>
      </c>
      <c r="L65" s="32"/>
      <c r="M65" s="51"/>
      <c r="N65" s="51"/>
      <c r="O65" s="32"/>
      <c r="P65" s="32"/>
      <c r="Q65" s="53"/>
    </row>
    <row r="66" spans="1:17" s="5" customFormat="1">
      <c r="A66" s="5" t="s">
        <v>216</v>
      </c>
      <c r="B66" s="324"/>
      <c r="C66" s="316"/>
      <c r="D66" s="39" t="s">
        <v>109</v>
      </c>
      <c r="E66" s="24">
        <f t="shared" si="2"/>
        <v>24579.91</v>
      </c>
      <c r="F66" s="25" t="s">
        <v>45</v>
      </c>
      <c r="G66" s="26">
        <v>2012</v>
      </c>
      <c r="H66" s="26"/>
      <c r="I66" s="27"/>
      <c r="J66" s="24"/>
      <c r="K66" s="28">
        <v>24579.91</v>
      </c>
      <c r="L66" s="32"/>
      <c r="M66" s="51"/>
      <c r="N66" s="51"/>
      <c r="O66" s="32"/>
      <c r="P66" s="32"/>
      <c r="Q66" s="53"/>
    </row>
    <row r="67" spans="1:17" s="5" customFormat="1">
      <c r="A67" s="5" t="s">
        <v>216</v>
      </c>
      <c r="B67" s="324"/>
      <c r="C67" s="316"/>
      <c r="D67" s="39" t="s">
        <v>113</v>
      </c>
      <c r="E67" s="24">
        <f t="shared" si="2"/>
        <v>10081.58</v>
      </c>
      <c r="F67" s="25" t="s">
        <v>45</v>
      </c>
      <c r="G67" s="26">
        <v>2012</v>
      </c>
      <c r="H67" s="26"/>
      <c r="I67" s="27"/>
      <c r="J67" s="24"/>
      <c r="K67" s="28">
        <v>10081.58</v>
      </c>
      <c r="L67" s="32"/>
      <c r="M67" s="51"/>
      <c r="N67" s="51"/>
      <c r="O67" s="32"/>
      <c r="P67" s="32"/>
      <c r="Q67" s="53"/>
    </row>
    <row r="68" spans="1:17" s="5" customFormat="1">
      <c r="A68" s="5" t="s">
        <v>216</v>
      </c>
      <c r="B68" s="324"/>
      <c r="C68" s="316"/>
      <c r="D68" s="39" t="s">
        <v>112</v>
      </c>
      <c r="E68" s="24">
        <f t="shared" si="2"/>
        <v>23666.63</v>
      </c>
      <c r="F68" s="25" t="s">
        <v>45</v>
      </c>
      <c r="G68" s="26">
        <v>2012</v>
      </c>
      <c r="H68" s="26"/>
      <c r="I68" s="27"/>
      <c r="J68" s="24"/>
      <c r="K68" s="28">
        <v>23666.63</v>
      </c>
      <c r="L68" s="32"/>
      <c r="M68" s="51"/>
      <c r="N68" s="51"/>
      <c r="O68" s="32"/>
      <c r="P68" s="32"/>
      <c r="Q68" s="53"/>
    </row>
    <row r="69" spans="1:17" s="5" customFormat="1">
      <c r="A69" s="5" t="s">
        <v>216</v>
      </c>
      <c r="B69" s="324"/>
      <c r="C69" s="316"/>
      <c r="D69" s="39" t="s">
        <v>111</v>
      </c>
      <c r="E69" s="24">
        <f t="shared" si="2"/>
        <v>7309.63</v>
      </c>
      <c r="F69" s="25" t="s">
        <v>45</v>
      </c>
      <c r="G69" s="26">
        <v>2012</v>
      </c>
      <c r="H69" s="26"/>
      <c r="I69" s="27"/>
      <c r="J69" s="24"/>
      <c r="K69" s="28">
        <v>7309.63</v>
      </c>
      <c r="L69" s="32"/>
      <c r="M69" s="51"/>
      <c r="N69" s="51"/>
      <c r="O69" s="32"/>
      <c r="P69" s="32"/>
      <c r="Q69" s="53"/>
    </row>
    <row r="70" spans="1:17" s="5" customFormat="1">
      <c r="A70" s="5" t="s">
        <v>216</v>
      </c>
      <c r="B70" s="324"/>
      <c r="C70" s="316"/>
      <c r="D70" s="39" t="s">
        <v>110</v>
      </c>
      <c r="E70" s="24">
        <f t="shared" si="2"/>
        <v>19909.23</v>
      </c>
      <c r="F70" s="25" t="s">
        <v>45</v>
      </c>
      <c r="G70" s="26">
        <v>2012</v>
      </c>
      <c r="H70" s="26"/>
      <c r="I70" s="27"/>
      <c r="J70" s="24"/>
      <c r="K70" s="28">
        <v>19909.23</v>
      </c>
      <c r="L70" s="32"/>
      <c r="M70" s="51"/>
      <c r="N70" s="51"/>
      <c r="O70" s="32"/>
      <c r="P70" s="32"/>
      <c r="Q70" s="53"/>
    </row>
    <row r="71" spans="1:17" s="5" customFormat="1" ht="27.6">
      <c r="A71" s="5" t="s">
        <v>216</v>
      </c>
      <c r="B71" s="324"/>
      <c r="C71" s="316"/>
      <c r="D71" s="39" t="s">
        <v>117</v>
      </c>
      <c r="E71" s="24">
        <f t="shared" si="2"/>
        <v>1385425.53</v>
      </c>
      <c r="F71" s="25" t="s">
        <v>45</v>
      </c>
      <c r="G71" s="26">
        <v>2009</v>
      </c>
      <c r="H71" s="26"/>
      <c r="I71" s="27"/>
      <c r="J71" s="24"/>
      <c r="K71" s="28">
        <v>1385425.53</v>
      </c>
      <c r="L71" s="32"/>
      <c r="M71" s="51"/>
      <c r="N71" s="51"/>
      <c r="O71" s="32"/>
      <c r="P71" s="32"/>
      <c r="Q71" s="53"/>
    </row>
    <row r="72" spans="1:17" s="5" customFormat="1">
      <c r="A72" s="5" t="s">
        <v>216</v>
      </c>
      <c r="B72" s="324"/>
      <c r="C72" s="316"/>
      <c r="D72" s="39" t="s">
        <v>114</v>
      </c>
      <c r="E72" s="24">
        <f t="shared" si="2"/>
        <v>408542.16</v>
      </c>
      <c r="F72" s="25" t="s">
        <v>45</v>
      </c>
      <c r="G72" s="26">
        <v>2013</v>
      </c>
      <c r="H72" s="26"/>
      <c r="I72" s="27"/>
      <c r="J72" s="24"/>
      <c r="K72" s="28">
        <v>408542.16</v>
      </c>
      <c r="L72" s="32"/>
      <c r="M72" s="51"/>
      <c r="N72" s="51"/>
      <c r="O72" s="32"/>
      <c r="P72" s="32"/>
      <c r="Q72" s="53"/>
    </row>
    <row r="73" spans="1:17" s="5" customFormat="1">
      <c r="A73" s="5" t="s">
        <v>216</v>
      </c>
      <c r="B73" s="324"/>
      <c r="C73" s="316"/>
      <c r="D73" s="39" t="s">
        <v>115</v>
      </c>
      <c r="E73" s="24">
        <f t="shared" si="2"/>
        <v>54670.31</v>
      </c>
      <c r="F73" s="25" t="s">
        <v>45</v>
      </c>
      <c r="G73" s="26">
        <v>2013</v>
      </c>
      <c r="H73" s="26"/>
      <c r="I73" s="27"/>
      <c r="J73" s="24"/>
      <c r="K73" s="28">
        <v>54670.31</v>
      </c>
      <c r="L73" s="32"/>
      <c r="M73" s="51"/>
      <c r="N73" s="51"/>
      <c r="O73" s="32"/>
      <c r="P73" s="32"/>
      <c r="Q73" s="53"/>
    </row>
    <row r="74" spans="1:17" s="5" customFormat="1">
      <c r="A74" s="5" t="s">
        <v>216</v>
      </c>
      <c r="B74" s="324"/>
      <c r="C74" s="316"/>
      <c r="D74" s="39" t="s">
        <v>116</v>
      </c>
      <c r="E74" s="24">
        <f t="shared" si="2"/>
        <v>50552.95</v>
      </c>
      <c r="F74" s="25" t="s">
        <v>45</v>
      </c>
      <c r="G74" s="26">
        <v>2014</v>
      </c>
      <c r="H74" s="26"/>
      <c r="I74" s="27"/>
      <c r="J74" s="24"/>
      <c r="K74" s="28">
        <v>50552.95</v>
      </c>
      <c r="L74" s="32"/>
      <c r="M74" s="51"/>
      <c r="N74" s="51"/>
      <c r="O74" s="32"/>
      <c r="P74" s="32"/>
      <c r="Q74" s="53"/>
    </row>
    <row r="75" spans="1:17" s="5" customFormat="1">
      <c r="A75" s="5" t="s">
        <v>216</v>
      </c>
      <c r="B75" s="324"/>
      <c r="C75" s="316"/>
      <c r="D75" s="39" t="s">
        <v>239</v>
      </c>
      <c r="E75" s="24">
        <f t="shared" si="2"/>
        <v>11628.09</v>
      </c>
      <c r="F75" s="25" t="s">
        <v>45</v>
      </c>
      <c r="G75" s="26">
        <v>2016</v>
      </c>
      <c r="H75" s="26"/>
      <c r="I75" s="27"/>
      <c r="J75" s="24"/>
      <c r="K75" s="28">
        <v>11628.09</v>
      </c>
      <c r="L75" s="32"/>
      <c r="M75" s="51"/>
      <c r="N75" s="51"/>
      <c r="O75" s="32"/>
      <c r="P75" s="32"/>
      <c r="Q75" s="53"/>
    </row>
    <row r="76" spans="1:17" s="5" customFormat="1">
      <c r="A76" s="5" t="s">
        <v>216</v>
      </c>
      <c r="B76" s="324"/>
      <c r="C76" s="316"/>
      <c r="D76" s="39" t="s">
        <v>240</v>
      </c>
      <c r="E76" s="24">
        <f t="shared" si="2"/>
        <v>29420.35</v>
      </c>
      <c r="F76" s="25" t="s">
        <v>45</v>
      </c>
      <c r="G76" s="26">
        <v>2018</v>
      </c>
      <c r="H76" s="26"/>
      <c r="I76" s="27"/>
      <c r="J76" s="24"/>
      <c r="K76" s="28">
        <v>29420.35</v>
      </c>
      <c r="L76" s="32"/>
      <c r="M76" s="51"/>
      <c r="N76" s="51"/>
      <c r="O76" s="32"/>
      <c r="P76" s="32"/>
      <c r="Q76" s="53"/>
    </row>
    <row r="77" spans="1:17" s="5" customFormat="1">
      <c r="A77" s="5" t="s">
        <v>216</v>
      </c>
      <c r="B77" s="324"/>
      <c r="C77" s="316"/>
      <c r="D77" s="39" t="s">
        <v>118</v>
      </c>
      <c r="E77" s="24">
        <f t="shared" si="2"/>
        <v>1468641.46</v>
      </c>
      <c r="F77" s="25" t="s">
        <v>45</v>
      </c>
      <c r="G77" s="26">
        <v>2013</v>
      </c>
      <c r="H77" s="26"/>
      <c r="I77" s="27"/>
      <c r="J77" s="24"/>
      <c r="K77" s="28">
        <v>1468641.46</v>
      </c>
      <c r="L77" s="32"/>
      <c r="M77" s="51"/>
      <c r="N77" s="51"/>
      <c r="O77" s="32"/>
      <c r="P77" s="32"/>
      <c r="Q77" s="53"/>
    </row>
    <row r="78" spans="1:17" s="5" customFormat="1">
      <c r="A78" s="5" t="s">
        <v>255</v>
      </c>
      <c r="B78" s="286"/>
      <c r="C78" s="317"/>
      <c r="D78" s="64" t="s">
        <v>256</v>
      </c>
      <c r="E78" s="154">
        <f>K78</f>
        <v>374539.26000000007</v>
      </c>
      <c r="F78" s="35" t="s">
        <v>45</v>
      </c>
      <c r="G78" s="36"/>
      <c r="H78" s="36"/>
      <c r="I78" s="109"/>
      <c r="J78" s="108"/>
      <c r="K78" s="108">
        <f>1451.8+1983+3263+14914+2675.4+646+1574+2790+490+2292+511+511+643+939+1589+3008+4392.09+3850.72*3+4392.09+12697.01+4392.09+3850.72+5099+4392.09*2+16398.78+3850.72*3+3850.71+5044.73+4392.09+3850.71+6644.44+3850.71+4636.32+3850.71+21989.89+19655.16+50722.99+4945.49+9764.18+2610.8+14016.16+2243.81+15216.9+7608.45+2695.69+4613.26+5766.56+5855+6104.2+3951.28+26414.7+3951.28*3</f>
        <v>374539.26000000007</v>
      </c>
      <c r="L78" s="38"/>
      <c r="M78" s="52"/>
      <c r="N78" s="52"/>
      <c r="O78" s="38"/>
      <c r="P78" s="38"/>
      <c r="Q78" s="62"/>
    </row>
    <row r="79" spans="1:17" s="5" customFormat="1">
      <c r="A79" s="5" t="s">
        <v>255</v>
      </c>
      <c r="B79" s="286"/>
      <c r="C79" s="317"/>
      <c r="D79" s="64" t="s">
        <v>257</v>
      </c>
      <c r="E79" s="172">
        <f>K79</f>
        <v>11912.5</v>
      </c>
      <c r="F79" s="35" t="s">
        <v>45</v>
      </c>
      <c r="G79" s="36"/>
      <c r="H79" s="36"/>
      <c r="I79" s="109"/>
      <c r="J79" s="108"/>
      <c r="K79" s="108">
        <v>11912.5</v>
      </c>
      <c r="L79" s="38"/>
      <c r="M79" s="52"/>
      <c r="N79" s="52"/>
      <c r="O79" s="38"/>
      <c r="P79" s="38"/>
      <c r="Q79" s="62"/>
    </row>
    <row r="80" spans="1:17" s="74" customFormat="1" ht="55.8" thickBot="1">
      <c r="A80" s="5" t="s">
        <v>43</v>
      </c>
      <c r="B80" s="286"/>
      <c r="C80" s="317"/>
      <c r="D80" s="132" t="s">
        <v>241</v>
      </c>
      <c r="E80" s="172">
        <f>K80</f>
        <v>288773.27</v>
      </c>
      <c r="F80" s="133" t="s">
        <v>45</v>
      </c>
      <c r="G80" s="35"/>
      <c r="H80" s="79"/>
      <c r="I80" s="80"/>
      <c r="J80" s="78"/>
      <c r="K80" s="48">
        <f>3997.5+11737.52+24997.6+75331+156809.65+15900</f>
        <v>288773.27</v>
      </c>
      <c r="L80" s="81"/>
      <c r="M80" s="82"/>
      <c r="N80" s="82"/>
      <c r="O80" s="81"/>
      <c r="P80" s="81"/>
      <c r="Q80" s="83"/>
    </row>
    <row r="81" spans="1:18" s="5" customFormat="1" ht="42" thickBot="1">
      <c r="A81" s="5" t="s">
        <v>43</v>
      </c>
      <c r="B81" s="176" t="s">
        <v>13</v>
      </c>
      <c r="C81" s="276" t="s">
        <v>147</v>
      </c>
      <c r="D81" s="220" t="s">
        <v>46</v>
      </c>
      <c r="E81" s="223">
        <f>K81</f>
        <v>40092.71</v>
      </c>
      <c r="F81" s="224" t="s">
        <v>45</v>
      </c>
      <c r="G81" s="225"/>
      <c r="H81" s="226"/>
      <c r="I81" s="227"/>
      <c r="J81" s="223"/>
      <c r="K81" s="228">
        <f>40092.71</f>
        <v>40092.71</v>
      </c>
      <c r="L81" s="221"/>
      <c r="M81" s="219"/>
      <c r="N81" s="219"/>
      <c r="O81" s="221"/>
      <c r="P81" s="221"/>
      <c r="Q81" s="222"/>
      <c r="R81" s="166" t="s">
        <v>316</v>
      </c>
    </row>
    <row r="82" spans="1:18" s="74" customFormat="1" ht="110.4">
      <c r="A82" s="5" t="s">
        <v>42</v>
      </c>
      <c r="B82" s="303" t="s">
        <v>14</v>
      </c>
      <c r="C82" s="306" t="s">
        <v>148</v>
      </c>
      <c r="D82" s="66" t="s">
        <v>149</v>
      </c>
      <c r="E82" s="67">
        <f>IF(J82&gt;K82,J82,K82)</f>
        <v>2100000</v>
      </c>
      <c r="F82" s="68" t="s">
        <v>53</v>
      </c>
      <c r="G82" s="10">
        <v>1986</v>
      </c>
      <c r="H82" s="11">
        <v>700</v>
      </c>
      <c r="I82" s="69">
        <v>3000</v>
      </c>
      <c r="J82" s="67">
        <f>H82*I82</f>
        <v>2100000</v>
      </c>
      <c r="K82" s="70">
        <v>68946.210000000006</v>
      </c>
      <c r="L82" s="11" t="s">
        <v>275</v>
      </c>
      <c r="M82" s="68" t="s">
        <v>276</v>
      </c>
      <c r="N82" s="68" t="s">
        <v>201</v>
      </c>
      <c r="O82" s="11" t="s">
        <v>277</v>
      </c>
      <c r="P82" s="11" t="s">
        <v>47</v>
      </c>
      <c r="Q82" s="71" t="s">
        <v>278</v>
      </c>
      <c r="R82" s="74" t="s">
        <v>316</v>
      </c>
    </row>
    <row r="83" spans="1:18" s="74" customFormat="1" ht="41.4">
      <c r="A83" s="5" t="s">
        <v>42</v>
      </c>
      <c r="B83" s="304"/>
      <c r="C83" s="307"/>
      <c r="D83" s="59" t="s">
        <v>128</v>
      </c>
      <c r="E83" s="47">
        <f>IF(J83&gt;K83,J83,K83)</f>
        <v>32000</v>
      </c>
      <c r="F83" s="56" t="s">
        <v>53</v>
      </c>
      <c r="G83" s="12">
        <v>1986</v>
      </c>
      <c r="H83" s="13">
        <v>150</v>
      </c>
      <c r="I83" s="57">
        <v>1000</v>
      </c>
      <c r="J83" s="47">
        <v>32000</v>
      </c>
      <c r="K83" s="58">
        <v>2430.9</v>
      </c>
      <c r="L83" s="13" t="s">
        <v>55</v>
      </c>
      <c r="M83" s="56" t="s">
        <v>279</v>
      </c>
      <c r="N83" s="56" t="s">
        <v>201</v>
      </c>
      <c r="O83" s="13" t="s">
        <v>56</v>
      </c>
      <c r="P83" s="13" t="s">
        <v>47</v>
      </c>
      <c r="Q83" s="84"/>
    </row>
    <row r="84" spans="1:18" s="5" customFormat="1">
      <c r="A84" s="5" t="s">
        <v>255</v>
      </c>
      <c r="B84" s="305"/>
      <c r="C84" s="307"/>
      <c r="D84" s="134" t="s">
        <v>256</v>
      </c>
      <c r="E84" s="47">
        <f>IF(J84&gt;K84,J84,K84)</f>
        <v>13836.3</v>
      </c>
      <c r="F84" s="136"/>
      <c r="G84" s="137"/>
      <c r="H84" s="138"/>
      <c r="I84" s="139"/>
      <c r="J84" s="135"/>
      <c r="K84" s="140">
        <f>13836.3</f>
        <v>13836.3</v>
      </c>
      <c r="L84" s="138"/>
      <c r="M84" s="136"/>
      <c r="N84" s="136"/>
      <c r="O84" s="138"/>
      <c r="P84" s="138"/>
      <c r="Q84" s="216"/>
    </row>
    <row r="85" spans="1:18" s="5" customFormat="1" ht="37.5" customHeight="1" thickBot="1">
      <c r="A85" s="5" t="s">
        <v>43</v>
      </c>
      <c r="B85" s="305"/>
      <c r="C85" s="307"/>
      <c r="D85" s="134" t="s">
        <v>280</v>
      </c>
      <c r="E85" s="172">
        <f>K85</f>
        <v>144947.85</v>
      </c>
      <c r="F85" s="136" t="s">
        <v>45</v>
      </c>
      <c r="G85" s="217"/>
      <c r="H85" s="38"/>
      <c r="I85" s="202"/>
      <c r="J85" s="203"/>
      <c r="K85" s="136">
        <f>2375+30605+48000+5000+4000+3900+5885.55+9955+16769+18458.3</f>
        <v>144947.85</v>
      </c>
      <c r="L85" s="38"/>
      <c r="M85" s="52"/>
      <c r="N85" s="52"/>
      <c r="O85" s="38"/>
      <c r="P85" s="38"/>
      <c r="Q85" s="62"/>
    </row>
    <row r="86" spans="1:18" s="5" customFormat="1" ht="42" thickBot="1">
      <c r="A86" s="5" t="s">
        <v>43</v>
      </c>
      <c r="B86" s="176" t="s">
        <v>15</v>
      </c>
      <c r="C86" s="186" t="s">
        <v>204</v>
      </c>
      <c r="D86" s="185" t="s">
        <v>256</v>
      </c>
      <c r="E86" s="177">
        <f>K86</f>
        <v>22343.279999999999</v>
      </c>
      <c r="F86" s="187" t="s">
        <v>45</v>
      </c>
      <c r="G86" s="178"/>
      <c r="H86" s="179"/>
      <c r="I86" s="180"/>
      <c r="J86" s="177"/>
      <c r="K86" s="218">
        <f>3000+2700+3000+4000+5734+2440+1469.28</f>
        <v>22343.279999999999</v>
      </c>
      <c r="L86" s="181"/>
      <c r="M86" s="182"/>
      <c r="N86" s="182"/>
      <c r="O86" s="183"/>
      <c r="P86" s="183"/>
      <c r="Q86" s="184"/>
    </row>
    <row r="87" spans="1:18" s="74" customFormat="1" ht="168" customHeight="1">
      <c r="A87" s="5" t="s">
        <v>42</v>
      </c>
      <c r="B87" s="288" t="s">
        <v>16</v>
      </c>
      <c r="C87" s="294" t="s">
        <v>209</v>
      </c>
      <c r="D87" s="192" t="s">
        <v>126</v>
      </c>
      <c r="E87" s="18">
        <f t="shared" ref="E87:E89" si="3">IF(J87&gt;K87,J87,K87)</f>
        <v>1600860</v>
      </c>
      <c r="F87" s="19" t="s">
        <v>53</v>
      </c>
      <c r="G87" s="20">
        <v>1928</v>
      </c>
      <c r="H87" s="20">
        <v>533.62</v>
      </c>
      <c r="I87" s="21">
        <v>3000</v>
      </c>
      <c r="J87" s="18">
        <f t="shared" ref="J87:J93" si="4">H87*I87</f>
        <v>1600860</v>
      </c>
      <c r="K87" s="22">
        <v>66872</v>
      </c>
      <c r="L87" s="20" t="s">
        <v>297</v>
      </c>
      <c r="M87" s="20" t="s">
        <v>57</v>
      </c>
      <c r="N87" s="20" t="s">
        <v>18</v>
      </c>
      <c r="O87" s="20" t="s">
        <v>48</v>
      </c>
      <c r="P87" s="20" t="s">
        <v>47</v>
      </c>
      <c r="Q87" s="193" t="s">
        <v>296</v>
      </c>
    </row>
    <row r="88" spans="1:18" s="74" customFormat="1" ht="27.6">
      <c r="A88" s="5" t="s">
        <v>42</v>
      </c>
      <c r="B88" s="289"/>
      <c r="C88" s="295"/>
      <c r="D88" s="39" t="s">
        <v>205</v>
      </c>
      <c r="E88" s="24">
        <f t="shared" si="3"/>
        <v>76970</v>
      </c>
      <c r="F88" s="25" t="s">
        <v>53</v>
      </c>
      <c r="G88" s="26" t="s">
        <v>206</v>
      </c>
      <c r="H88" s="26">
        <f>57.6+19.37</f>
        <v>76.97</v>
      </c>
      <c r="I88" s="27">
        <v>1000</v>
      </c>
      <c r="J88" s="24">
        <f t="shared" si="4"/>
        <v>76970</v>
      </c>
      <c r="K88" s="28">
        <f>3083+3800</f>
        <v>6883</v>
      </c>
      <c r="L88" s="26" t="s">
        <v>298</v>
      </c>
      <c r="M88" s="26" t="s">
        <v>18</v>
      </c>
      <c r="N88" s="26" t="s">
        <v>18</v>
      </c>
      <c r="O88" s="26" t="s">
        <v>48</v>
      </c>
      <c r="P88" s="26" t="s">
        <v>47</v>
      </c>
      <c r="Q88" s="29" t="s">
        <v>207</v>
      </c>
    </row>
    <row r="89" spans="1:18" s="74" customFormat="1">
      <c r="A89" s="5" t="s">
        <v>216</v>
      </c>
      <c r="B89" s="289"/>
      <c r="C89" s="295"/>
      <c r="D89" s="39" t="s">
        <v>52</v>
      </c>
      <c r="E89" s="24">
        <f t="shared" si="3"/>
        <v>24624.6</v>
      </c>
      <c r="F89" s="25" t="s">
        <v>45</v>
      </c>
      <c r="G89" s="26">
        <v>2015</v>
      </c>
      <c r="H89" s="32"/>
      <c r="I89" s="27"/>
      <c r="J89" s="24">
        <f t="shared" si="4"/>
        <v>0</v>
      </c>
      <c r="K89" s="28">
        <v>24624.6</v>
      </c>
      <c r="L89" s="77"/>
      <c r="M89" s="77"/>
      <c r="N89" s="77"/>
      <c r="O89" s="77"/>
      <c r="P89" s="77"/>
      <c r="Q89" s="88"/>
    </row>
    <row r="90" spans="1:18" s="74" customFormat="1" ht="27.6">
      <c r="A90" s="5" t="s">
        <v>216</v>
      </c>
      <c r="B90" s="289"/>
      <c r="C90" s="295"/>
      <c r="D90" s="39" t="s">
        <v>122</v>
      </c>
      <c r="E90" s="24">
        <f>IF(J90&gt;K90,J90,K90)</f>
        <v>5432</v>
      </c>
      <c r="F90" s="25" t="s">
        <v>45</v>
      </c>
      <c r="G90" s="26" t="s">
        <v>299</v>
      </c>
      <c r="H90" s="32"/>
      <c r="I90" s="27"/>
      <c r="J90" s="24">
        <f t="shared" si="4"/>
        <v>0</v>
      </c>
      <c r="K90" s="28">
        <f>732+500+4200</f>
        <v>5432</v>
      </c>
      <c r="L90" s="77"/>
      <c r="M90" s="77"/>
      <c r="N90" s="77"/>
      <c r="O90" s="77"/>
      <c r="P90" s="77"/>
      <c r="Q90" s="88"/>
    </row>
    <row r="91" spans="1:18" s="74" customFormat="1" ht="27.6">
      <c r="A91" s="5" t="s">
        <v>43</v>
      </c>
      <c r="B91" s="289"/>
      <c r="C91" s="295"/>
      <c r="D91" s="39" t="s">
        <v>123</v>
      </c>
      <c r="E91" s="24">
        <f>IF(J91&gt;K91,J91,K91)</f>
        <v>6800</v>
      </c>
      <c r="F91" s="25" t="s">
        <v>45</v>
      </c>
      <c r="G91" s="26" t="s">
        <v>124</v>
      </c>
      <c r="H91" s="32"/>
      <c r="I91" s="27"/>
      <c r="J91" s="24">
        <f t="shared" si="4"/>
        <v>0</v>
      </c>
      <c r="K91" s="28">
        <f>3800+3000</f>
        <v>6800</v>
      </c>
      <c r="L91" s="77"/>
      <c r="M91" s="77"/>
      <c r="N91" s="77"/>
      <c r="O91" s="77"/>
      <c r="P91" s="77"/>
      <c r="Q91" s="88"/>
    </row>
    <row r="92" spans="1:18" s="74" customFormat="1">
      <c r="A92" s="5" t="s">
        <v>255</v>
      </c>
      <c r="B92" s="289"/>
      <c r="C92" s="295"/>
      <c r="D92" s="64" t="s">
        <v>256</v>
      </c>
      <c r="E92" s="24">
        <f>IF(J92&gt;K92,J92,K92)</f>
        <v>52520.86</v>
      </c>
      <c r="F92" s="35" t="s">
        <v>45</v>
      </c>
      <c r="G92" s="36"/>
      <c r="H92" s="38"/>
      <c r="I92" s="109"/>
      <c r="J92" s="108"/>
      <c r="K92" s="37">
        <f>23777+7800+2859+3495+2806+903+369+369+2900+1848+2345.93*2+703</f>
        <v>52520.86</v>
      </c>
      <c r="L92" s="81"/>
      <c r="M92" s="81"/>
      <c r="N92" s="81"/>
      <c r="O92" s="81"/>
      <c r="P92" s="81"/>
      <c r="Q92" s="194"/>
    </row>
    <row r="93" spans="1:18" s="5" customFormat="1" ht="14.4" thickBot="1">
      <c r="A93" s="5" t="s">
        <v>43</v>
      </c>
      <c r="B93" s="289"/>
      <c r="C93" s="295"/>
      <c r="D93" s="61" t="s">
        <v>46</v>
      </c>
      <c r="E93" s="24">
        <f>K93</f>
        <v>20261.260000000002</v>
      </c>
      <c r="F93" s="40" t="s">
        <v>45</v>
      </c>
      <c r="G93" s="40"/>
      <c r="H93" s="16"/>
      <c r="I93" s="31"/>
      <c r="J93" s="30">
        <f t="shared" si="4"/>
        <v>0</v>
      </c>
      <c r="K93" s="195">
        <f>321.01+1383.75+10018+3158.5+5380</f>
        <v>20261.260000000002</v>
      </c>
      <c r="L93" s="16"/>
      <c r="M93" s="16"/>
      <c r="N93" s="16"/>
      <c r="O93" s="16"/>
      <c r="P93" s="16"/>
      <c r="Q93" s="34"/>
    </row>
    <row r="94" spans="1:18" s="74" customFormat="1" ht="75" customHeight="1">
      <c r="A94" s="5" t="s">
        <v>42</v>
      </c>
      <c r="B94" s="288" t="s">
        <v>17</v>
      </c>
      <c r="C94" s="294" t="s">
        <v>208</v>
      </c>
      <c r="D94" s="192" t="s">
        <v>127</v>
      </c>
      <c r="E94" s="18">
        <f>IF(J94&gt;K94,J94,K94)</f>
        <v>1800000</v>
      </c>
      <c r="F94" s="19" t="s">
        <v>53</v>
      </c>
      <c r="G94" s="20">
        <v>1966</v>
      </c>
      <c r="H94" s="20">
        <v>600</v>
      </c>
      <c r="I94" s="21">
        <v>3000</v>
      </c>
      <c r="J94" s="18">
        <f>I94*H94</f>
        <v>1800000</v>
      </c>
      <c r="K94" s="22">
        <v>426276.69</v>
      </c>
      <c r="L94" s="20" t="s">
        <v>51</v>
      </c>
      <c r="M94" s="19" t="s">
        <v>49</v>
      </c>
      <c r="N94" s="20"/>
      <c r="O94" s="20" t="s">
        <v>48</v>
      </c>
      <c r="P94" s="20" t="s">
        <v>47</v>
      </c>
      <c r="Q94" s="193" t="s">
        <v>130</v>
      </c>
    </row>
    <row r="95" spans="1:18" s="74" customFormat="1">
      <c r="A95" s="5" t="s">
        <v>42</v>
      </c>
      <c r="B95" s="289"/>
      <c r="C95" s="295"/>
      <c r="D95" s="39" t="s">
        <v>128</v>
      </c>
      <c r="E95" s="24">
        <f>IF(J95&gt;K95,J95,K95)</f>
        <v>20000</v>
      </c>
      <c r="F95" s="25" t="s">
        <v>53</v>
      </c>
      <c r="G95" s="26">
        <v>1966</v>
      </c>
      <c r="H95" s="26">
        <v>20</v>
      </c>
      <c r="I95" s="27">
        <v>1000</v>
      </c>
      <c r="J95" s="24">
        <f>I95*H95</f>
        <v>20000</v>
      </c>
      <c r="K95" s="28">
        <v>1760</v>
      </c>
      <c r="L95" s="26" t="s">
        <v>51</v>
      </c>
      <c r="M95" s="25"/>
      <c r="N95" s="26" t="s">
        <v>129</v>
      </c>
      <c r="O95" s="26" t="s">
        <v>50</v>
      </c>
      <c r="P95" s="26" t="s">
        <v>47</v>
      </c>
      <c r="Q95" s="247"/>
    </row>
    <row r="96" spans="1:18" s="74" customFormat="1">
      <c r="A96" s="5" t="s">
        <v>216</v>
      </c>
      <c r="B96" s="289"/>
      <c r="C96" s="295"/>
      <c r="D96" s="39" t="s">
        <v>52</v>
      </c>
      <c r="E96" s="24">
        <v>2460</v>
      </c>
      <c r="F96" s="25" t="s">
        <v>45</v>
      </c>
      <c r="G96" s="26">
        <v>2011</v>
      </c>
      <c r="H96" s="32"/>
      <c r="I96" s="27"/>
      <c r="J96" s="24"/>
      <c r="K96" s="28">
        <v>2460</v>
      </c>
      <c r="L96" s="32"/>
      <c r="M96" s="51"/>
      <c r="N96" s="32"/>
      <c r="O96" s="32"/>
      <c r="P96" s="32"/>
      <c r="Q96" s="248"/>
    </row>
    <row r="97" spans="1:17" s="74" customFormat="1">
      <c r="A97" s="5" t="s">
        <v>216</v>
      </c>
      <c r="B97" s="289"/>
      <c r="C97" s="295"/>
      <c r="D97" s="39" t="s">
        <v>52</v>
      </c>
      <c r="E97" s="24">
        <v>1324</v>
      </c>
      <c r="F97" s="25" t="s">
        <v>45</v>
      </c>
      <c r="G97" s="26">
        <v>2011</v>
      </c>
      <c r="H97" s="32"/>
      <c r="I97" s="27"/>
      <c r="J97" s="24"/>
      <c r="K97" s="28">
        <v>1324</v>
      </c>
      <c r="L97" s="32"/>
      <c r="M97" s="51"/>
      <c r="N97" s="32"/>
      <c r="O97" s="32"/>
      <c r="P97" s="32"/>
      <c r="Q97" s="248"/>
    </row>
    <row r="98" spans="1:17" s="74" customFormat="1">
      <c r="A98" s="5" t="s">
        <v>216</v>
      </c>
      <c r="B98" s="289"/>
      <c r="C98" s="295"/>
      <c r="D98" s="39" t="s">
        <v>52</v>
      </c>
      <c r="E98" s="24">
        <v>2000</v>
      </c>
      <c r="F98" s="25" t="s">
        <v>45</v>
      </c>
      <c r="G98" s="26">
        <v>2012</v>
      </c>
      <c r="H98" s="32"/>
      <c r="I98" s="27"/>
      <c r="J98" s="24"/>
      <c r="K98" s="28">
        <v>2000</v>
      </c>
      <c r="L98" s="32"/>
      <c r="M98" s="51"/>
      <c r="N98" s="32"/>
      <c r="O98" s="32"/>
      <c r="P98" s="32"/>
      <c r="Q98" s="248"/>
    </row>
    <row r="99" spans="1:17" s="74" customFormat="1">
      <c r="A99" s="5" t="s">
        <v>216</v>
      </c>
      <c r="B99" s="289"/>
      <c r="C99" s="295"/>
      <c r="D99" s="39" t="s">
        <v>52</v>
      </c>
      <c r="E99" s="24">
        <v>3000</v>
      </c>
      <c r="F99" s="25"/>
      <c r="G99" s="26">
        <v>2014</v>
      </c>
      <c r="H99" s="32"/>
      <c r="I99" s="27"/>
      <c r="J99" s="24"/>
      <c r="K99" s="28">
        <v>3000</v>
      </c>
      <c r="L99" s="32"/>
      <c r="M99" s="51"/>
      <c r="N99" s="32"/>
      <c r="O99" s="32"/>
      <c r="P99" s="32"/>
      <c r="Q99" s="248"/>
    </row>
    <row r="100" spans="1:17" s="74" customFormat="1" ht="27.6">
      <c r="A100" s="5" t="s">
        <v>43</v>
      </c>
      <c r="B100" s="289"/>
      <c r="C100" s="295"/>
      <c r="D100" s="39" t="s">
        <v>131</v>
      </c>
      <c r="E100" s="24">
        <f>1168*2+1822*2</f>
        <v>5980</v>
      </c>
      <c r="F100" s="25" t="s">
        <v>45</v>
      </c>
      <c r="G100" s="26">
        <v>2010</v>
      </c>
      <c r="H100" s="32"/>
      <c r="I100" s="27"/>
      <c r="J100" s="24"/>
      <c r="K100" s="28">
        <f>E100</f>
        <v>5980</v>
      </c>
      <c r="L100" s="32"/>
      <c r="M100" s="51"/>
      <c r="N100" s="32"/>
      <c r="O100" s="32"/>
      <c r="P100" s="32"/>
      <c r="Q100" s="248"/>
    </row>
    <row r="101" spans="1:17" s="74" customFormat="1" ht="27.6">
      <c r="A101" s="5" t="s">
        <v>216</v>
      </c>
      <c r="B101" s="289"/>
      <c r="C101" s="295"/>
      <c r="D101" s="39" t="s">
        <v>132</v>
      </c>
      <c r="E101" s="24">
        <f>2987.62+1000+1900+400</f>
        <v>6287.62</v>
      </c>
      <c r="F101" s="25" t="s">
        <v>45</v>
      </c>
      <c r="G101" s="26" t="s">
        <v>133</v>
      </c>
      <c r="H101" s="32"/>
      <c r="I101" s="27"/>
      <c r="J101" s="24"/>
      <c r="K101" s="28">
        <f>E101</f>
        <v>6287.62</v>
      </c>
      <c r="L101" s="32"/>
      <c r="M101" s="51"/>
      <c r="N101" s="32"/>
      <c r="O101" s="32"/>
      <c r="P101" s="32"/>
      <c r="Q101" s="248"/>
    </row>
    <row r="102" spans="1:17" s="74" customFormat="1" ht="14.4" thickBot="1">
      <c r="A102" s="5" t="s">
        <v>43</v>
      </c>
      <c r="B102" s="290"/>
      <c r="C102" s="296"/>
      <c r="D102" s="249" t="s">
        <v>134</v>
      </c>
      <c r="E102" s="170">
        <f>K102</f>
        <v>69565.09</v>
      </c>
      <c r="F102" s="40"/>
      <c r="G102" s="171">
        <f>23244.94+30450.95+5995.49+1060+622.2+10020+108.84+1720.77+400</f>
        <v>73623.189999999988</v>
      </c>
      <c r="H102" s="16"/>
      <c r="I102" s="31"/>
      <c r="J102" s="30"/>
      <c r="K102" s="30">
        <f>23244.94+30450.95+4981.5+1060+1476+910.2+4735.5+1599+1107</f>
        <v>69565.09</v>
      </c>
      <c r="L102" s="16"/>
      <c r="M102" s="17"/>
      <c r="N102" s="16"/>
      <c r="O102" s="16"/>
      <c r="P102" s="16"/>
      <c r="Q102" s="250"/>
    </row>
    <row r="103" spans="1:17" s="74" customFormat="1" ht="27.6">
      <c r="A103" s="5" t="s">
        <v>42</v>
      </c>
      <c r="B103" s="289" t="s">
        <v>19</v>
      </c>
      <c r="C103" s="295" t="s">
        <v>281</v>
      </c>
      <c r="D103" s="280" t="s">
        <v>283</v>
      </c>
      <c r="E103" s="279">
        <f>IF(J103&gt;K103,J103,K103)</f>
        <v>1890000</v>
      </c>
      <c r="F103" s="281" t="s">
        <v>53</v>
      </c>
      <c r="G103" s="282">
        <v>1967</v>
      </c>
      <c r="H103" s="282">
        <v>1742</v>
      </c>
      <c r="I103" s="283"/>
      <c r="J103" s="279">
        <v>1890000</v>
      </c>
      <c r="K103" s="246">
        <v>551115</v>
      </c>
      <c r="L103" s="282" t="s">
        <v>51</v>
      </c>
      <c r="M103" s="281" t="s">
        <v>135</v>
      </c>
      <c r="N103" s="282" t="s">
        <v>18</v>
      </c>
      <c r="O103" s="282" t="s">
        <v>48</v>
      </c>
      <c r="P103" s="282" t="s">
        <v>47</v>
      </c>
      <c r="Q103" s="284"/>
    </row>
    <row r="104" spans="1:17" s="5" customFormat="1">
      <c r="A104" s="5" t="s">
        <v>42</v>
      </c>
      <c r="B104" s="289"/>
      <c r="C104" s="295"/>
      <c r="D104" s="60" t="s">
        <v>136</v>
      </c>
      <c r="E104" s="24">
        <f t="shared" ref="E104:E111" si="5">IF(J104&gt;K104,J104,K104)</f>
        <v>63000</v>
      </c>
      <c r="F104" s="25" t="s">
        <v>45</v>
      </c>
      <c r="G104" s="26">
        <v>1967</v>
      </c>
      <c r="H104" s="26">
        <v>63</v>
      </c>
      <c r="I104" s="27">
        <v>1000</v>
      </c>
      <c r="J104" s="24">
        <f>I104*H104</f>
        <v>63000</v>
      </c>
      <c r="K104" s="28">
        <v>4578</v>
      </c>
      <c r="L104" s="26" t="s">
        <v>51</v>
      </c>
      <c r="M104" s="25" t="s">
        <v>18</v>
      </c>
      <c r="N104" s="26" t="s">
        <v>18</v>
      </c>
      <c r="O104" s="26" t="s">
        <v>56</v>
      </c>
      <c r="P104" s="26" t="s">
        <v>47</v>
      </c>
      <c r="Q104" s="29"/>
    </row>
    <row r="105" spans="1:17" s="74" customFormat="1" ht="27.6">
      <c r="A105" s="5" t="s">
        <v>42</v>
      </c>
      <c r="B105" s="289"/>
      <c r="C105" s="295"/>
      <c r="D105" s="60" t="s">
        <v>282</v>
      </c>
      <c r="E105" s="24">
        <f t="shared" si="5"/>
        <v>860696.98</v>
      </c>
      <c r="F105" s="25" t="s">
        <v>45</v>
      </c>
      <c r="G105" s="26">
        <v>2018</v>
      </c>
      <c r="H105" s="26">
        <v>149.41</v>
      </c>
      <c r="I105" s="27"/>
      <c r="J105" s="24"/>
      <c r="K105" s="28">
        <v>860696.98</v>
      </c>
      <c r="L105" s="76"/>
      <c r="M105" s="75"/>
      <c r="N105" s="76"/>
      <c r="O105" s="76"/>
      <c r="P105" s="26" t="s">
        <v>47</v>
      </c>
      <c r="Q105" s="87"/>
    </row>
    <row r="106" spans="1:17" s="5" customFormat="1">
      <c r="A106" s="5" t="s">
        <v>216</v>
      </c>
      <c r="B106" s="289"/>
      <c r="C106" s="295"/>
      <c r="D106" s="60" t="s">
        <v>137</v>
      </c>
      <c r="E106" s="24">
        <f t="shared" si="5"/>
        <v>7000</v>
      </c>
      <c r="F106" s="25" t="s">
        <v>45</v>
      </c>
      <c r="G106" s="26">
        <v>2012</v>
      </c>
      <c r="H106" s="32"/>
      <c r="I106" s="27"/>
      <c r="J106" s="24"/>
      <c r="K106" s="28">
        <v>7000</v>
      </c>
      <c r="L106" s="32"/>
      <c r="M106" s="51"/>
      <c r="N106" s="32"/>
      <c r="O106" s="32"/>
      <c r="P106" s="32"/>
      <c r="Q106" s="33"/>
    </row>
    <row r="107" spans="1:17" s="5" customFormat="1" ht="41.4">
      <c r="A107" s="5" t="s">
        <v>216</v>
      </c>
      <c r="B107" s="289"/>
      <c r="C107" s="295"/>
      <c r="D107" s="60" t="s">
        <v>138</v>
      </c>
      <c r="E107" s="24">
        <f t="shared" si="5"/>
        <v>9873.43</v>
      </c>
      <c r="F107" s="25" t="s">
        <v>45</v>
      </c>
      <c r="G107" s="26">
        <v>2013</v>
      </c>
      <c r="H107" s="32"/>
      <c r="I107" s="27"/>
      <c r="J107" s="24"/>
      <c r="K107" s="28">
        <v>9873.43</v>
      </c>
      <c r="L107" s="32"/>
      <c r="M107" s="51"/>
      <c r="N107" s="32"/>
      <c r="O107" s="32"/>
      <c r="P107" s="32"/>
      <c r="Q107" s="33"/>
    </row>
    <row r="108" spans="1:17" s="5" customFormat="1" ht="27.6">
      <c r="A108" s="5" t="s">
        <v>216</v>
      </c>
      <c r="B108" s="289"/>
      <c r="C108" s="295"/>
      <c r="D108" s="60" t="s">
        <v>287</v>
      </c>
      <c r="E108" s="24">
        <f t="shared" si="5"/>
        <v>3774.87</v>
      </c>
      <c r="F108" s="25" t="s">
        <v>45</v>
      </c>
      <c r="G108" s="26">
        <v>2013</v>
      </c>
      <c r="H108" s="32"/>
      <c r="I108" s="27"/>
      <c r="J108" s="24"/>
      <c r="K108" s="28">
        <v>3774.87</v>
      </c>
      <c r="L108" s="32"/>
      <c r="M108" s="51"/>
      <c r="N108" s="32"/>
      <c r="O108" s="32"/>
      <c r="P108" s="32"/>
      <c r="Q108" s="33"/>
    </row>
    <row r="109" spans="1:17" s="5" customFormat="1" ht="41.4">
      <c r="A109" s="5" t="s">
        <v>216</v>
      </c>
      <c r="B109" s="289"/>
      <c r="C109" s="295"/>
      <c r="D109" s="60" t="s">
        <v>210</v>
      </c>
      <c r="E109" s="24">
        <f t="shared" si="5"/>
        <v>8831.9</v>
      </c>
      <c r="F109" s="25" t="s">
        <v>45</v>
      </c>
      <c r="G109" s="26">
        <v>2015</v>
      </c>
      <c r="H109" s="32"/>
      <c r="I109" s="27"/>
      <c r="J109" s="24"/>
      <c r="K109" s="28">
        <f>3374.3+2050+3099.6+308</f>
        <v>8831.9</v>
      </c>
      <c r="L109" s="32"/>
      <c r="M109" s="51"/>
      <c r="N109" s="32"/>
      <c r="O109" s="32"/>
      <c r="P109" s="32"/>
      <c r="Q109" s="33"/>
    </row>
    <row r="110" spans="1:17" s="5" customFormat="1">
      <c r="A110" s="5" t="s">
        <v>255</v>
      </c>
      <c r="B110" s="289"/>
      <c r="C110" s="295"/>
      <c r="D110" s="142" t="s">
        <v>256</v>
      </c>
      <c r="E110" s="24">
        <f t="shared" si="5"/>
        <v>21011.7</v>
      </c>
      <c r="F110" s="35" t="s">
        <v>45</v>
      </c>
      <c r="G110" s="36"/>
      <c r="H110" s="38"/>
      <c r="I110" s="109"/>
      <c r="J110" s="108"/>
      <c r="K110" s="37">
        <f>1800+3498+1699+559+4013+1450+229+602.7+1500+716+1255+359+419+750+504+504+504+650</f>
        <v>21011.7</v>
      </c>
      <c r="L110" s="38"/>
      <c r="M110" s="52"/>
      <c r="N110" s="38"/>
      <c r="O110" s="38"/>
      <c r="P110" s="38"/>
      <c r="Q110" s="143"/>
    </row>
    <row r="111" spans="1:17" s="5" customFormat="1" ht="14.4" thickBot="1">
      <c r="A111" s="5" t="s">
        <v>43</v>
      </c>
      <c r="B111" s="289"/>
      <c r="C111" s="295"/>
      <c r="D111" s="61" t="s">
        <v>46</v>
      </c>
      <c r="E111" s="24">
        <f t="shared" si="5"/>
        <v>93023.679999999993</v>
      </c>
      <c r="F111" s="40" t="s">
        <v>45</v>
      </c>
      <c r="G111" s="65"/>
      <c r="H111" s="16"/>
      <c r="I111" s="31"/>
      <c r="J111" s="30">
        <f>I111*H111</f>
        <v>0</v>
      </c>
      <c r="K111" s="145">
        <f>400+440.34+23223.81+46246.27+3501.4+19211.86</f>
        <v>93023.679999999993</v>
      </c>
      <c r="L111" s="16"/>
      <c r="M111" s="17"/>
      <c r="N111" s="16"/>
      <c r="O111" s="16"/>
      <c r="P111" s="16"/>
      <c r="Q111" s="34"/>
    </row>
    <row r="112" spans="1:17" s="74" customFormat="1" ht="79.5" customHeight="1">
      <c r="A112" s="5" t="s">
        <v>42</v>
      </c>
      <c r="B112" s="285" t="s">
        <v>20</v>
      </c>
      <c r="C112" s="297" t="s">
        <v>211</v>
      </c>
      <c r="D112" s="155" t="s">
        <v>140</v>
      </c>
      <c r="E112" s="18">
        <f>IF(J112&gt;K112,J112,K112)</f>
        <v>1271517.44</v>
      </c>
      <c r="F112" s="19" t="s">
        <v>45</v>
      </c>
      <c r="G112" s="20">
        <v>1967</v>
      </c>
      <c r="H112" s="20"/>
      <c r="I112" s="21"/>
      <c r="J112" s="18">
        <f>I112*H112</f>
        <v>0</v>
      </c>
      <c r="K112" s="22">
        <v>1271517.44</v>
      </c>
      <c r="L112" s="20" t="s">
        <v>51</v>
      </c>
      <c r="M112" s="20" t="s">
        <v>49</v>
      </c>
      <c r="N112" s="20" t="s">
        <v>141</v>
      </c>
      <c r="O112" s="20" t="s">
        <v>50</v>
      </c>
      <c r="P112" s="20" t="s">
        <v>47</v>
      </c>
      <c r="Q112" s="157" t="s">
        <v>142</v>
      </c>
    </row>
    <row r="113" spans="1:17" s="74" customFormat="1" ht="22.5" customHeight="1">
      <c r="A113" s="5" t="s">
        <v>42</v>
      </c>
      <c r="B113" s="286"/>
      <c r="C113" s="298"/>
      <c r="D113" s="156" t="s">
        <v>293</v>
      </c>
      <c r="E113" s="153">
        <f>IF(J113&gt;K113,J113,K113)</f>
        <v>6810</v>
      </c>
      <c r="F113" s="25" t="s">
        <v>45</v>
      </c>
      <c r="G113" s="26">
        <v>1970</v>
      </c>
      <c r="H113" s="26"/>
      <c r="I113" s="27"/>
      <c r="J113" s="24"/>
      <c r="K113" s="28">
        <v>6810</v>
      </c>
      <c r="L113" s="26" t="s">
        <v>51</v>
      </c>
      <c r="M113" s="26" t="s">
        <v>49</v>
      </c>
      <c r="N113" s="26" t="s">
        <v>18</v>
      </c>
      <c r="O113" s="26" t="s">
        <v>56</v>
      </c>
      <c r="P113" s="26" t="s">
        <v>47</v>
      </c>
      <c r="Q113" s="41" t="s">
        <v>18</v>
      </c>
    </row>
    <row r="114" spans="1:17" s="166" customFormat="1" ht="22.5" customHeight="1">
      <c r="A114" s="152" t="s">
        <v>42</v>
      </c>
      <c r="B114" s="286"/>
      <c r="C114" s="298"/>
      <c r="D114" s="159" t="s">
        <v>290</v>
      </c>
      <c r="E114" s="153">
        <f>IF(J114&gt;K114,J114,K114)</f>
        <v>151149.63</v>
      </c>
      <c r="F114" s="161" t="s">
        <v>45</v>
      </c>
      <c r="G114" s="162">
        <v>1967</v>
      </c>
      <c r="H114" s="162"/>
      <c r="I114" s="163"/>
      <c r="J114" s="160"/>
      <c r="K114" s="164">
        <v>151149.63</v>
      </c>
      <c r="L114" s="162"/>
      <c r="M114" s="162"/>
      <c r="N114" s="162"/>
      <c r="O114" s="162"/>
      <c r="P114" s="162"/>
      <c r="Q114" s="165"/>
    </row>
    <row r="115" spans="1:17" s="166" customFormat="1" ht="22.5" customHeight="1">
      <c r="A115" s="152" t="s">
        <v>255</v>
      </c>
      <c r="B115" s="286"/>
      <c r="C115" s="298"/>
      <c r="D115" s="159" t="s">
        <v>256</v>
      </c>
      <c r="E115" s="153">
        <f>IF(J115&gt;K115,J115,K115)</f>
        <v>45385.38</v>
      </c>
      <c r="F115" s="161" t="s">
        <v>45</v>
      </c>
      <c r="G115" s="162"/>
      <c r="H115" s="162"/>
      <c r="I115" s="163"/>
      <c r="J115" s="160"/>
      <c r="K115" s="164">
        <f>39379.68+514.84+2600+2191.86+699</f>
        <v>45385.38</v>
      </c>
      <c r="L115" s="162"/>
      <c r="M115" s="162"/>
      <c r="N115" s="162"/>
      <c r="O115" s="162"/>
      <c r="P115" s="162"/>
      <c r="Q115" s="165"/>
    </row>
    <row r="116" spans="1:17" s="74" customFormat="1" ht="22.5" customHeight="1">
      <c r="A116" s="5" t="s">
        <v>43</v>
      </c>
      <c r="B116" s="286"/>
      <c r="C116" s="298"/>
      <c r="D116" s="158" t="s">
        <v>58</v>
      </c>
      <c r="E116" s="172">
        <f>K116</f>
        <v>64538.8</v>
      </c>
      <c r="F116" s="35" t="s">
        <v>45</v>
      </c>
      <c r="G116" s="36">
        <f>1960+5873.62+1180+1200+250+1420+900+1399+37387+2996+8707.56</f>
        <v>63273.179999999993</v>
      </c>
      <c r="H116" s="38"/>
      <c r="I116" s="109"/>
      <c r="J116" s="108">
        <f>I116*H116</f>
        <v>0</v>
      </c>
      <c r="K116" s="108">
        <f>1960+1180+699+1299.99+1018+920.55+6274.99+1650+1785+720+399+442.8+356.8+440.34+45392.33</f>
        <v>64538.8</v>
      </c>
      <c r="L116" s="81"/>
      <c r="M116" s="81"/>
      <c r="N116" s="81"/>
      <c r="O116" s="81"/>
      <c r="P116" s="81"/>
      <c r="Q116" s="83"/>
    </row>
    <row r="117" spans="1:17" s="74" customFormat="1" ht="22.5" customHeight="1" thickBot="1">
      <c r="A117" s="5" t="s">
        <v>43</v>
      </c>
      <c r="B117" s="287"/>
      <c r="C117" s="299"/>
      <c r="D117" s="169" t="s">
        <v>292</v>
      </c>
      <c r="E117" s="170">
        <f>K117</f>
        <v>37387</v>
      </c>
      <c r="F117" s="40" t="s">
        <v>45</v>
      </c>
      <c r="G117" s="171"/>
      <c r="H117" s="16"/>
      <c r="I117" s="31"/>
      <c r="J117" s="30"/>
      <c r="K117" s="30">
        <f>26283.8+11103.2</f>
        <v>37387</v>
      </c>
      <c r="L117" s="85"/>
      <c r="M117" s="85"/>
      <c r="N117" s="85"/>
      <c r="O117" s="85"/>
      <c r="P117" s="85"/>
      <c r="Q117" s="86"/>
    </row>
    <row r="118" spans="1:17" s="74" customFormat="1" ht="26.25" customHeight="1">
      <c r="A118" s="5" t="s">
        <v>42</v>
      </c>
      <c r="B118" s="285" t="s">
        <v>21</v>
      </c>
      <c r="C118" s="291" t="s">
        <v>213</v>
      </c>
      <c r="D118" s="63" t="s">
        <v>300</v>
      </c>
      <c r="E118" s="18">
        <f>IF(J118&gt;K118,J118,K118)</f>
        <v>2400000</v>
      </c>
      <c r="F118" s="19" t="s">
        <v>53</v>
      </c>
      <c r="G118" s="198">
        <v>1993</v>
      </c>
      <c r="H118" s="20">
        <v>1200</v>
      </c>
      <c r="I118" s="21">
        <v>2000</v>
      </c>
      <c r="J118" s="18">
        <f>I118*H118</f>
        <v>2400000</v>
      </c>
      <c r="K118" s="22">
        <v>755836</v>
      </c>
      <c r="L118" s="20" t="s">
        <v>143</v>
      </c>
      <c r="M118" s="19" t="s">
        <v>144</v>
      </c>
      <c r="N118" s="20" t="s">
        <v>18</v>
      </c>
      <c r="O118" s="20" t="s">
        <v>48</v>
      </c>
      <c r="P118" s="20" t="s">
        <v>47</v>
      </c>
      <c r="Q118" s="193" t="s">
        <v>218</v>
      </c>
    </row>
    <row r="119" spans="1:17" s="166" customFormat="1" ht="26.25" customHeight="1">
      <c r="A119" s="166" t="s">
        <v>42</v>
      </c>
      <c r="B119" s="286"/>
      <c r="C119" s="292"/>
      <c r="D119" s="237" t="s">
        <v>301</v>
      </c>
      <c r="E119" s="153">
        <f t="shared" ref="E119:E122" si="6">IF(J119&gt;K119,J119,K119)</f>
        <v>2868000</v>
      </c>
      <c r="F119" s="239" t="s">
        <v>53</v>
      </c>
      <c r="G119" s="204">
        <v>1960</v>
      </c>
      <c r="H119" s="205">
        <v>956</v>
      </c>
      <c r="I119" s="206">
        <v>3000</v>
      </c>
      <c r="J119" s="153">
        <f>H119*I119</f>
        <v>2868000</v>
      </c>
      <c r="K119" s="207">
        <v>146040.5</v>
      </c>
      <c r="L119" s="205" t="s">
        <v>302</v>
      </c>
      <c r="M119" s="239" t="s">
        <v>49</v>
      </c>
      <c r="N119" s="205" t="s">
        <v>303</v>
      </c>
      <c r="O119" s="205" t="s">
        <v>304</v>
      </c>
      <c r="P119" s="205" t="s">
        <v>47</v>
      </c>
      <c r="Q119" s="240"/>
    </row>
    <row r="120" spans="1:17" s="166" customFormat="1" ht="26.25" customHeight="1">
      <c r="A120" s="166" t="s">
        <v>42</v>
      </c>
      <c r="B120" s="286"/>
      <c r="C120" s="292"/>
      <c r="D120" s="237" t="s">
        <v>305</v>
      </c>
      <c r="E120" s="238">
        <f t="shared" si="6"/>
        <v>750000</v>
      </c>
      <c r="F120" s="239" t="s">
        <v>53</v>
      </c>
      <c r="G120" s="204">
        <v>2001</v>
      </c>
      <c r="H120" s="205">
        <v>250</v>
      </c>
      <c r="I120" s="206">
        <v>3000</v>
      </c>
      <c r="J120" s="153">
        <f>H120*I120</f>
        <v>750000</v>
      </c>
      <c r="K120" s="207">
        <v>490702</v>
      </c>
      <c r="L120" s="205" t="s">
        <v>307</v>
      </c>
      <c r="M120" s="239" t="s">
        <v>49</v>
      </c>
      <c r="N120" s="205" t="s">
        <v>303</v>
      </c>
      <c r="O120" s="205" t="s">
        <v>308</v>
      </c>
      <c r="P120" s="205" t="s">
        <v>47</v>
      </c>
      <c r="Q120" s="240"/>
    </row>
    <row r="121" spans="1:17" s="166" customFormat="1" ht="26.25" customHeight="1">
      <c r="A121" s="166" t="s">
        <v>42</v>
      </c>
      <c r="B121" s="286"/>
      <c r="C121" s="292"/>
      <c r="D121" s="237" t="s">
        <v>306</v>
      </c>
      <c r="E121" s="153">
        <f t="shared" si="6"/>
        <v>2268000</v>
      </c>
      <c r="F121" s="239" t="s">
        <v>53</v>
      </c>
      <c r="G121" s="204">
        <v>2003</v>
      </c>
      <c r="H121" s="205">
        <v>756</v>
      </c>
      <c r="I121" s="206">
        <v>3000</v>
      </c>
      <c r="J121" s="153">
        <f>H121*I121</f>
        <v>2268000</v>
      </c>
      <c r="K121" s="207">
        <v>1127859.77</v>
      </c>
      <c r="L121" s="205" t="s">
        <v>309</v>
      </c>
      <c r="M121" s="239" t="s">
        <v>310</v>
      </c>
      <c r="N121" s="205" t="s">
        <v>18</v>
      </c>
      <c r="O121" s="205" t="s">
        <v>311</v>
      </c>
      <c r="P121" s="205" t="s">
        <v>47</v>
      </c>
      <c r="Q121" s="240"/>
    </row>
    <row r="122" spans="1:17" s="166" customFormat="1" ht="26.25" customHeight="1">
      <c r="A122" s="166" t="s">
        <v>255</v>
      </c>
      <c r="B122" s="286"/>
      <c r="C122" s="292"/>
      <c r="D122" s="208" t="s">
        <v>256</v>
      </c>
      <c r="E122" s="153">
        <f t="shared" si="6"/>
        <v>99714.38</v>
      </c>
      <c r="F122" s="209" t="s">
        <v>45</v>
      </c>
      <c r="G122" s="204"/>
      <c r="H122" s="205"/>
      <c r="I122" s="206"/>
      <c r="J122" s="153"/>
      <c r="K122" s="207">
        <f>1714+9*1768.44+1798+314+895+11*625+752+1500+2459.52+1450+2460+1655.58+400+380+2653+4000+3*1560+780+2208+2011+2533.8+4157+2343+1985+1793+2684+4321+1000+2040+2191.86+1525+1500+2500+1499+2*1721.5+2366.8+2399+1625.2+2*1453.33</f>
        <v>99714.38</v>
      </c>
      <c r="L122" s="32"/>
      <c r="M122" s="51"/>
      <c r="N122" s="32"/>
      <c r="O122" s="32"/>
      <c r="P122" s="32"/>
      <c r="Q122" s="88"/>
    </row>
    <row r="123" spans="1:17" s="5" customFormat="1" ht="110.4">
      <c r="A123" s="5" t="s">
        <v>43</v>
      </c>
      <c r="B123" s="286"/>
      <c r="C123" s="292"/>
      <c r="D123" s="60" t="s">
        <v>219</v>
      </c>
      <c r="E123" s="154">
        <f>K123</f>
        <v>75915.12000000001</v>
      </c>
      <c r="F123" s="25" t="s">
        <v>45</v>
      </c>
      <c r="G123" s="200" t="s">
        <v>220</v>
      </c>
      <c r="H123" s="205"/>
      <c r="I123" s="206"/>
      <c r="J123" s="153"/>
      <c r="K123" s="153">
        <f>6766.83+1600+1600+4125+4125+4125+4125+10450+1515.5+2150+1050+1790.88+3271.8+4184.46+1940+2583+1722+3000+3357.9+766.29+500+4184.46+1722+1000+3760+500</f>
        <v>75915.12000000001</v>
      </c>
      <c r="L123" s="32"/>
      <c r="M123" s="51"/>
      <c r="N123" s="32"/>
      <c r="O123" s="32"/>
      <c r="P123" s="32"/>
      <c r="Q123" s="33"/>
    </row>
    <row r="124" spans="1:17" s="5" customFormat="1" ht="14.4" thickBot="1">
      <c r="A124" s="5" t="s">
        <v>43</v>
      </c>
      <c r="B124" s="287"/>
      <c r="C124" s="293"/>
      <c r="D124" s="61" t="s">
        <v>46</v>
      </c>
      <c r="E124" s="30">
        <f>K124</f>
        <v>19390.25</v>
      </c>
      <c r="F124" s="40" t="s">
        <v>45</v>
      </c>
      <c r="G124" s="211"/>
      <c r="H124" s="212"/>
      <c r="I124" s="213"/>
      <c r="J124" s="214">
        <f>I124*H124</f>
        <v>0</v>
      </c>
      <c r="K124" s="210">
        <f>2000+2190+2203.95+2205+2*1783.95+1257.9+1783.5+1230+2*1476</f>
        <v>19390.25</v>
      </c>
      <c r="L124" s="16"/>
      <c r="M124" s="17"/>
      <c r="N124" s="16"/>
      <c r="O124" s="16"/>
      <c r="P124" s="16"/>
      <c r="Q124" s="34"/>
    </row>
  </sheetData>
  <mergeCells count="27">
    <mergeCell ref="F2:F3"/>
    <mergeCell ref="B4:B80"/>
    <mergeCell ref="K2:K3"/>
    <mergeCell ref="J2:J3"/>
    <mergeCell ref="I2:I3"/>
    <mergeCell ref="Q2:Q3"/>
    <mergeCell ref="B103:B111"/>
    <mergeCell ref="L2:O2"/>
    <mergeCell ref="B82:B85"/>
    <mergeCell ref="C82:C85"/>
    <mergeCell ref="B87:B93"/>
    <mergeCell ref="H2:H3"/>
    <mergeCell ref="D2:D3"/>
    <mergeCell ref="G2:G3"/>
    <mergeCell ref="C87:C93"/>
    <mergeCell ref="C103:C111"/>
    <mergeCell ref="C2:C3"/>
    <mergeCell ref="C4:C80"/>
    <mergeCell ref="P2:P3"/>
    <mergeCell ref="E2:E3"/>
    <mergeCell ref="B2:B3"/>
    <mergeCell ref="B118:B124"/>
    <mergeCell ref="B94:B102"/>
    <mergeCell ref="C118:C124"/>
    <mergeCell ref="C94:C102"/>
    <mergeCell ref="C112:C117"/>
    <mergeCell ref="B112:B117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37" workbookViewId="0">
      <selection activeCell="C57" sqref="C57"/>
    </sheetView>
  </sheetViews>
  <sheetFormatPr defaultColWidth="9.109375" defaultRowHeight="13.2"/>
  <cols>
    <col min="1" max="1" width="8.44140625" style="7" customWidth="1"/>
    <col min="2" max="2" width="17.6640625" style="7" customWidth="1"/>
    <col min="3" max="3" width="22.88671875" style="7" customWidth="1"/>
    <col min="4" max="4" width="42.5546875" style="8" customWidth="1"/>
    <col min="5" max="5" width="13.44140625" style="6" bestFit="1" customWidth="1"/>
    <col min="6" max="6" width="13.44140625" style="50" bestFit="1" customWidth="1"/>
    <col min="7" max="7" width="12.5546875" style="7" bestFit="1" customWidth="1"/>
    <col min="8" max="9" width="11.44140625" style="7" bestFit="1" customWidth="1"/>
    <col min="10" max="16384" width="9.109375" style="7"/>
  </cols>
  <sheetData>
    <row r="1" spans="1:9" s="50" customFormat="1">
      <c r="A1" s="332"/>
      <c r="B1" s="332"/>
      <c r="C1" s="332"/>
      <c r="D1" s="332"/>
      <c r="E1" s="49"/>
    </row>
    <row r="2" spans="1:9" s="50" customFormat="1" ht="15" customHeight="1" thickBot="1">
      <c r="A2" s="345" t="s">
        <v>119</v>
      </c>
      <c r="B2" s="346"/>
      <c r="C2" s="346"/>
      <c r="D2" s="151"/>
      <c r="E2" s="49"/>
    </row>
    <row r="3" spans="1:9" s="50" customFormat="1">
      <c r="A3" s="46" t="s">
        <v>25</v>
      </c>
      <c r="B3" s="343" t="s">
        <v>26</v>
      </c>
      <c r="C3" s="343"/>
      <c r="D3" s="112" t="s">
        <v>24</v>
      </c>
      <c r="E3" s="49"/>
    </row>
    <row r="4" spans="1:9" s="50" customFormat="1">
      <c r="A4" s="45" t="s">
        <v>12</v>
      </c>
      <c r="B4" s="335" t="s">
        <v>27</v>
      </c>
      <c r="C4" s="340"/>
      <c r="D4" s="149">
        <f>2198+3364.05+1514+1089</f>
        <v>8165.05</v>
      </c>
      <c r="E4" s="49" t="s">
        <v>41</v>
      </c>
      <c r="H4" s="111"/>
    </row>
    <row r="5" spans="1:9" s="50" customFormat="1">
      <c r="A5" s="45" t="s">
        <v>13</v>
      </c>
      <c r="B5" s="327" t="s">
        <v>242</v>
      </c>
      <c r="C5" s="328"/>
      <c r="D5" s="43">
        <v>5394.19</v>
      </c>
      <c r="E5" s="49" t="s">
        <v>41</v>
      </c>
    </row>
    <row r="6" spans="1:9" s="50" customFormat="1" ht="13.8" thickBot="1">
      <c r="A6" s="45" t="s">
        <v>14</v>
      </c>
      <c r="B6" s="341" t="s">
        <v>28</v>
      </c>
      <c r="C6" s="342"/>
      <c r="D6" s="150">
        <f>7083.57+3001.2+3079+2759+2976</f>
        <v>18898.77</v>
      </c>
      <c r="E6" s="49" t="s">
        <v>40</v>
      </c>
    </row>
    <row r="7" spans="1:9" s="110" customFormat="1">
      <c r="A7" s="368" t="s">
        <v>150</v>
      </c>
      <c r="B7" s="369"/>
      <c r="C7" s="369"/>
      <c r="D7" s="229"/>
      <c r="E7" s="230"/>
    </row>
    <row r="8" spans="1:9" s="110" customFormat="1">
      <c r="A8" s="231" t="s">
        <v>12</v>
      </c>
      <c r="B8" s="335" t="s">
        <v>27</v>
      </c>
      <c r="C8" s="335"/>
      <c r="D8" s="232">
        <f>2131.59*8+1707*5</f>
        <v>25587.72</v>
      </c>
      <c r="E8" s="230" t="s">
        <v>41</v>
      </c>
    </row>
    <row r="9" spans="1:9" s="110" customFormat="1">
      <c r="A9" s="231" t="s">
        <v>13</v>
      </c>
      <c r="B9" s="340" t="s">
        <v>29</v>
      </c>
      <c r="C9" s="370"/>
      <c r="D9" s="232">
        <f>1283*2+0.55+499+589*3</f>
        <v>4832.55</v>
      </c>
      <c r="E9" s="230" t="s">
        <v>41</v>
      </c>
    </row>
    <row r="10" spans="1:9" s="110" customFormat="1">
      <c r="A10" s="231" t="s">
        <v>14</v>
      </c>
      <c r="B10" s="327" t="s">
        <v>120</v>
      </c>
      <c r="C10" s="329"/>
      <c r="D10" s="232">
        <f>96+99</f>
        <v>195</v>
      </c>
      <c r="E10" s="230" t="s">
        <v>41</v>
      </c>
    </row>
    <row r="11" spans="1:9" s="110" customFormat="1" ht="13.8" thickBot="1">
      <c r="A11" s="233" t="s">
        <v>15</v>
      </c>
      <c r="B11" s="341" t="s">
        <v>28</v>
      </c>
      <c r="C11" s="341"/>
      <c r="D11" s="234">
        <f>2658.19+2555.29+370.84*4</f>
        <v>6696.8399999999992</v>
      </c>
      <c r="E11" s="230" t="s">
        <v>40</v>
      </c>
    </row>
    <row r="12" spans="1:9" s="92" customFormat="1">
      <c r="A12" s="364" t="s">
        <v>151</v>
      </c>
      <c r="B12" s="365"/>
      <c r="C12" s="365"/>
      <c r="D12" s="245"/>
      <c r="E12" s="91"/>
      <c r="F12" s="110"/>
    </row>
    <row r="13" spans="1:9" s="92" customFormat="1" ht="13.8" thickBot="1">
      <c r="A13" s="190" t="s">
        <v>12</v>
      </c>
      <c r="B13" s="335" t="s">
        <v>330</v>
      </c>
      <c r="C13" s="335"/>
      <c r="D13" s="43"/>
      <c r="E13" s="91"/>
      <c r="F13" s="110"/>
    </row>
    <row r="14" spans="1:9" s="50" customFormat="1">
      <c r="A14" s="361" t="s">
        <v>202</v>
      </c>
      <c r="B14" s="362"/>
      <c r="C14" s="363"/>
      <c r="D14" s="188"/>
      <c r="E14" s="49"/>
    </row>
    <row r="15" spans="1:9" s="50" customFormat="1">
      <c r="A15" s="189" t="s">
        <v>12</v>
      </c>
      <c r="B15" s="366" t="s">
        <v>27</v>
      </c>
      <c r="C15" s="367"/>
      <c r="D15" s="175">
        <f>2988.9+3188.67*2+4464+2098.43</f>
        <v>15928.67</v>
      </c>
      <c r="E15" s="49" t="s">
        <v>41</v>
      </c>
      <c r="G15" s="111"/>
      <c r="H15" s="111"/>
      <c r="I15" s="144"/>
    </row>
    <row r="16" spans="1:9" s="50" customFormat="1">
      <c r="A16" s="190" t="s">
        <v>13</v>
      </c>
      <c r="B16" s="340" t="s">
        <v>29</v>
      </c>
      <c r="C16" s="360"/>
      <c r="D16" s="175">
        <f>923.73+2030</f>
        <v>2953.73</v>
      </c>
      <c r="E16" s="49" t="s">
        <v>41</v>
      </c>
    </row>
    <row r="17" spans="1:8" s="50" customFormat="1" ht="13.8" thickBot="1">
      <c r="A17" s="191" t="s">
        <v>14</v>
      </c>
      <c r="B17" s="341" t="s">
        <v>203</v>
      </c>
      <c r="C17" s="342"/>
      <c r="D17" s="175">
        <f>1469.28</f>
        <v>1469.28</v>
      </c>
      <c r="E17" s="49" t="s">
        <v>40</v>
      </c>
    </row>
    <row r="18" spans="1:8" s="50" customFormat="1">
      <c r="A18" s="338" t="s">
        <v>317</v>
      </c>
      <c r="B18" s="339"/>
      <c r="C18" s="339"/>
      <c r="D18" s="196"/>
      <c r="E18" s="49"/>
    </row>
    <row r="19" spans="1:8" s="50" customFormat="1">
      <c r="A19" s="45" t="s">
        <v>12</v>
      </c>
      <c r="B19" s="335" t="s">
        <v>27</v>
      </c>
      <c r="C19" s="340"/>
      <c r="D19" s="175">
        <f>486+2563+1043</f>
        <v>4092</v>
      </c>
      <c r="E19" s="49" t="s">
        <v>41</v>
      </c>
    </row>
    <row r="20" spans="1:8" s="50" customFormat="1">
      <c r="A20" s="45" t="s">
        <v>13</v>
      </c>
      <c r="B20" s="335" t="s">
        <v>29</v>
      </c>
      <c r="C20" s="340"/>
      <c r="D20" s="175">
        <f>3440+1239.4*2</f>
        <v>5918.8</v>
      </c>
      <c r="E20" s="49" t="s">
        <v>41</v>
      </c>
      <c r="H20" s="144"/>
    </row>
    <row r="21" spans="1:8" s="50" customFormat="1">
      <c r="A21" s="45" t="s">
        <v>14</v>
      </c>
      <c r="B21" s="327" t="s">
        <v>59</v>
      </c>
      <c r="C21" s="328"/>
      <c r="D21" s="175">
        <f>3000+2779.8+5896.62*4</f>
        <v>29366.28</v>
      </c>
      <c r="E21" s="49" t="s">
        <v>41</v>
      </c>
      <c r="H21" s="144"/>
    </row>
    <row r="22" spans="1:8" s="50" customFormat="1" ht="13.8" thickBot="1">
      <c r="A22" s="45" t="s">
        <v>15</v>
      </c>
      <c r="B22" s="341" t="s">
        <v>28</v>
      </c>
      <c r="C22" s="342"/>
      <c r="D22" s="197">
        <f>1500+1536.27+1617.45+1047.96+1349+2103.98+2462.31*12+2462.3+2506.59+2462.3+2462.32+2560*3+2440*5</f>
        <v>68475.890000000014</v>
      </c>
      <c r="E22" s="49" t="s">
        <v>40</v>
      </c>
    </row>
    <row r="23" spans="1:8" s="50" customFormat="1" ht="15" customHeight="1">
      <c r="A23" s="330" t="s">
        <v>318</v>
      </c>
      <c r="B23" s="331"/>
      <c r="C23" s="331"/>
      <c r="D23" s="241"/>
      <c r="E23" s="49"/>
    </row>
    <row r="24" spans="1:8" s="50" customFormat="1">
      <c r="A24" s="45" t="s">
        <v>12</v>
      </c>
      <c r="B24" s="335" t="s">
        <v>322</v>
      </c>
      <c r="C24" s="335"/>
      <c r="D24" s="242">
        <f>2042.3*11+1897+484+2287.5+480+2936.54+569</f>
        <v>31119.34</v>
      </c>
      <c r="E24" s="49" t="s">
        <v>41</v>
      </c>
      <c r="F24" s="111"/>
    </row>
    <row r="25" spans="1:8" s="50" customFormat="1" ht="29.4" customHeight="1">
      <c r="A25" s="45"/>
      <c r="B25" s="327" t="s">
        <v>323</v>
      </c>
      <c r="C25" s="329"/>
      <c r="D25" s="242">
        <v>23586.48</v>
      </c>
      <c r="E25" s="49"/>
      <c r="F25" s="111"/>
    </row>
    <row r="26" spans="1:8" s="50" customFormat="1">
      <c r="A26" s="45" t="s">
        <v>13</v>
      </c>
      <c r="B26" s="335" t="s">
        <v>324</v>
      </c>
      <c r="C26" s="335"/>
      <c r="D26" s="242">
        <v>5726.78</v>
      </c>
      <c r="E26" s="49" t="s">
        <v>41</v>
      </c>
      <c r="F26" s="111"/>
    </row>
    <row r="27" spans="1:8" s="50" customFormat="1">
      <c r="A27" s="45" t="s">
        <v>14</v>
      </c>
      <c r="B27" s="327" t="s">
        <v>325</v>
      </c>
      <c r="C27" s="329"/>
      <c r="D27" s="242">
        <f>169</f>
        <v>169</v>
      </c>
      <c r="E27" s="49" t="s">
        <v>41</v>
      </c>
      <c r="F27" s="111"/>
    </row>
    <row r="28" spans="1:8" s="50" customFormat="1">
      <c r="A28" s="45" t="s">
        <v>15</v>
      </c>
      <c r="B28" s="327" t="s">
        <v>326</v>
      </c>
      <c r="C28" s="329"/>
      <c r="D28" s="242">
        <f>2891.4</f>
        <v>2891.4</v>
      </c>
      <c r="E28" s="49" t="s">
        <v>41</v>
      </c>
      <c r="F28" s="111"/>
    </row>
    <row r="29" spans="1:8" s="50" customFormat="1" ht="27.6" customHeight="1">
      <c r="A29" s="45" t="s">
        <v>16</v>
      </c>
      <c r="B29" s="327" t="s">
        <v>328</v>
      </c>
      <c r="C29" s="329"/>
      <c r="D29" s="242">
        <f>700+869</f>
        <v>1569</v>
      </c>
      <c r="E29" s="49" t="s">
        <v>41</v>
      </c>
      <c r="F29" s="111"/>
    </row>
    <row r="30" spans="1:8" s="50" customFormat="1">
      <c r="A30" s="243" t="s">
        <v>17</v>
      </c>
      <c r="B30" s="341" t="s">
        <v>327</v>
      </c>
      <c r="C30" s="341"/>
      <c r="D30" s="244">
        <v>18798.2</v>
      </c>
      <c r="E30" s="49" t="s">
        <v>40</v>
      </c>
    </row>
    <row r="31" spans="1:8" s="50" customFormat="1">
      <c r="A31" s="336" t="s">
        <v>319</v>
      </c>
      <c r="B31" s="337"/>
      <c r="C31" s="337"/>
      <c r="D31" s="44"/>
      <c r="E31" s="49"/>
    </row>
    <row r="32" spans="1:8" s="50" customFormat="1">
      <c r="A32" s="42" t="s">
        <v>12</v>
      </c>
      <c r="B32" s="344" t="s">
        <v>27</v>
      </c>
      <c r="C32" s="344"/>
      <c r="D32" s="146">
        <f>2034+1029.01+179+179+2461.23+39379.68+17500</f>
        <v>62761.919999999998</v>
      </c>
      <c r="E32" s="49" t="s">
        <v>41</v>
      </c>
      <c r="H32" s="144"/>
    </row>
    <row r="33" spans="1:8" s="50" customFormat="1">
      <c r="A33" s="42" t="s">
        <v>13</v>
      </c>
      <c r="B33" s="344" t="s">
        <v>29</v>
      </c>
      <c r="C33" s="344"/>
      <c r="D33" s="146">
        <f>3440.31+490+349+1239.4*2+1273</f>
        <v>8031.11</v>
      </c>
      <c r="E33" s="49" t="s">
        <v>41</v>
      </c>
      <c r="H33" s="111"/>
    </row>
    <row r="34" spans="1:8" s="50" customFormat="1">
      <c r="A34" s="42" t="s">
        <v>14</v>
      </c>
      <c r="B34" s="333" t="s">
        <v>139</v>
      </c>
      <c r="C34" s="334"/>
      <c r="D34" s="147">
        <f>2779.8+3000+4661.7+3112.2+5896.62*4+8794</f>
        <v>45934.18</v>
      </c>
      <c r="E34" s="49" t="s">
        <v>41</v>
      </c>
      <c r="F34" s="111"/>
    </row>
    <row r="35" spans="1:8" s="50" customFormat="1">
      <c r="A35" s="42" t="s">
        <v>15</v>
      </c>
      <c r="B35" s="371" t="s">
        <v>28</v>
      </c>
      <c r="C35" s="372"/>
      <c r="D35" s="147">
        <f>2488.29+2797.02+2593.2+1360+1170+3819+1047.96+2506.59+2462.31+2462.31+12800+12200+3234.9+6698</f>
        <v>57639.58</v>
      </c>
      <c r="E35" s="49" t="s">
        <v>40</v>
      </c>
      <c r="F35" s="111"/>
    </row>
    <row r="36" spans="1:8" s="50" customFormat="1" ht="15.75" customHeight="1" thickBot="1">
      <c r="A36" s="42" t="s">
        <v>16</v>
      </c>
      <c r="B36" s="347" t="s">
        <v>121</v>
      </c>
      <c r="C36" s="348"/>
      <c r="D36" s="148">
        <v>14145</v>
      </c>
      <c r="E36" s="49" t="s">
        <v>41</v>
      </c>
      <c r="F36" s="111"/>
    </row>
    <row r="37" spans="1:8" s="50" customFormat="1" ht="13.8" thickBot="1">
      <c r="A37" s="352" t="s">
        <v>320</v>
      </c>
      <c r="B37" s="353"/>
      <c r="C37" s="353"/>
      <c r="D37" s="167"/>
      <c r="E37" s="49"/>
      <c r="G37" s="168"/>
    </row>
    <row r="38" spans="1:8" s="50" customFormat="1" ht="13.8" thickBot="1">
      <c r="A38" s="173" t="s">
        <v>12</v>
      </c>
      <c r="B38" s="344" t="s">
        <v>27</v>
      </c>
      <c r="C38" s="357"/>
      <c r="D38" s="175">
        <f>19425.37+2461.23+3485+7506.09+514.88+1181.98+1300+1360</f>
        <v>37234.550000000003</v>
      </c>
      <c r="E38" s="49" t="s">
        <v>41</v>
      </c>
      <c r="G38" s="168"/>
    </row>
    <row r="39" spans="1:8" s="50" customFormat="1" ht="13.8" thickBot="1">
      <c r="A39" s="174" t="s">
        <v>13</v>
      </c>
      <c r="B39" s="344" t="s">
        <v>29</v>
      </c>
      <c r="C39" s="357"/>
      <c r="D39" s="175">
        <f>353.98+2478.8</f>
        <v>2832.78</v>
      </c>
      <c r="E39" s="49" t="s">
        <v>41</v>
      </c>
      <c r="G39" s="168"/>
    </row>
    <row r="40" spans="1:8" s="50" customFormat="1" ht="13.8" thickBot="1">
      <c r="A40" s="173" t="s">
        <v>14</v>
      </c>
      <c r="B40" s="355" t="s">
        <v>121</v>
      </c>
      <c r="C40" s="356"/>
      <c r="D40" s="175">
        <f>4550+2996</f>
        <v>7546</v>
      </c>
      <c r="E40" s="49" t="s">
        <v>41</v>
      </c>
      <c r="G40" s="168"/>
      <c r="H40" s="144"/>
    </row>
    <row r="41" spans="1:8" s="50" customFormat="1">
      <c r="A41" s="174" t="s">
        <v>15</v>
      </c>
      <c r="B41" s="349" t="s">
        <v>291</v>
      </c>
      <c r="C41" s="333"/>
      <c r="D41" s="175">
        <f>3000+11793.24*2+4661.7</f>
        <v>31248.18</v>
      </c>
      <c r="E41" s="49" t="s">
        <v>41</v>
      </c>
      <c r="G41" s="168"/>
    </row>
    <row r="42" spans="1:8" s="50" customFormat="1">
      <c r="A42" s="173" t="s">
        <v>16</v>
      </c>
      <c r="B42" s="350" t="s">
        <v>125</v>
      </c>
      <c r="C42" s="351"/>
      <c r="D42" s="175">
        <f>1000+488+178+1177+1699.1+1200</f>
        <v>5742.1</v>
      </c>
      <c r="E42" s="49" t="s">
        <v>41</v>
      </c>
      <c r="G42" s="168"/>
    </row>
    <row r="43" spans="1:8" s="50" customFormat="1" ht="13.8" thickBot="1">
      <c r="A43" s="174" t="s">
        <v>17</v>
      </c>
      <c r="B43" s="347" t="s">
        <v>28</v>
      </c>
      <c r="C43" s="354"/>
      <c r="D43" s="175">
        <f>530+1800+1449+2767.5+3234.9+24400+12800+1047.96+2506.59+4924.62+3200+806.28+750+2797.02+2488.29+2432.57+2191.86+991.87+1514.81+1500+2670.33</f>
        <v>76803.599999999991</v>
      </c>
      <c r="E43" s="49" t="s">
        <v>40</v>
      </c>
      <c r="G43" s="168"/>
    </row>
    <row r="44" spans="1:8" s="50" customFormat="1">
      <c r="A44" s="352" t="s">
        <v>321</v>
      </c>
      <c r="B44" s="353"/>
      <c r="C44" s="353"/>
      <c r="D44" s="201"/>
      <c r="E44" s="49"/>
      <c r="G44" s="168"/>
    </row>
    <row r="45" spans="1:8" s="50" customFormat="1">
      <c r="A45" s="42" t="s">
        <v>12</v>
      </c>
      <c r="B45" s="344" t="s">
        <v>27</v>
      </c>
      <c r="C45" s="344"/>
      <c r="D45" s="175">
        <f>3485+1360+1136+233.7+356.03+1599+4026.53+1625+3485+14*2461.22+2590.7+6*461.54+4026.53+2*705</f>
        <v>62559.80999999999</v>
      </c>
      <c r="E45" s="49" t="s">
        <v>41</v>
      </c>
      <c r="G45" s="168"/>
    </row>
    <row r="46" spans="1:8" s="50" customFormat="1">
      <c r="A46" s="42" t="s">
        <v>13</v>
      </c>
      <c r="B46" s="344" t="s">
        <v>29</v>
      </c>
      <c r="C46" s="344"/>
      <c r="D46" s="175">
        <f>2500+1239.4*2+1319+2*1239.31</f>
        <v>8776.42</v>
      </c>
      <c r="E46" s="49" t="s">
        <v>41</v>
      </c>
      <c r="G46" s="168"/>
    </row>
    <row r="47" spans="1:8" s="50" customFormat="1">
      <c r="A47" s="42" t="s">
        <v>14</v>
      </c>
      <c r="B47" s="333" t="s">
        <v>214</v>
      </c>
      <c r="C47" s="334"/>
      <c r="D47" s="175">
        <f>3000+4661.7+5896.62+3*5896.62+4661.7+3387+2*5896.62+3000</f>
        <v>54090.119999999995</v>
      </c>
      <c r="E47" s="49" t="s">
        <v>41</v>
      </c>
      <c r="G47" s="168"/>
    </row>
    <row r="48" spans="1:8" s="50" customFormat="1">
      <c r="A48" s="42" t="s">
        <v>15</v>
      </c>
      <c r="B48" s="358" t="s">
        <v>215</v>
      </c>
      <c r="C48" s="359"/>
      <c r="D48" s="175">
        <f>1885.25</f>
        <v>1885.25</v>
      </c>
      <c r="E48" s="49" t="s">
        <v>41</v>
      </c>
      <c r="G48" s="168"/>
    </row>
    <row r="49" spans="1:7" s="50" customFormat="1" ht="13.8" thickBot="1">
      <c r="A49" s="42" t="s">
        <v>16</v>
      </c>
      <c r="B49" s="347" t="s">
        <v>28</v>
      </c>
      <c r="C49" s="348"/>
      <c r="D49" s="197">
        <f>1500+2*1599+700+1800+3*1349+2670.33+2767.5+5*549.59+1047.53+2506.59+2*2462.31+2797.02+1209+1328.4+2099+1800+2*2000+2462.34+1047.53+2999+2661+1651.89+4969.2+2767.5+1701+5*2440+5*2560+2*1617.45</f>
        <v>89637.299999999988</v>
      </c>
      <c r="E49" s="49" t="s">
        <v>40</v>
      </c>
      <c r="G49" s="168"/>
    </row>
    <row r="50" spans="1:7" s="50" customFormat="1">
      <c r="A50" s="215"/>
      <c r="B50" s="50" t="s">
        <v>329</v>
      </c>
      <c r="D50" s="144"/>
      <c r="E50" s="49"/>
      <c r="G50" s="168"/>
    </row>
    <row r="51" spans="1:7" s="90" customFormat="1">
      <c r="D51" s="93"/>
      <c r="E51" s="89"/>
      <c r="F51" s="50"/>
    </row>
  </sheetData>
  <mergeCells count="49">
    <mergeCell ref="B35:C35"/>
    <mergeCell ref="B38:C38"/>
    <mergeCell ref="B47:C47"/>
    <mergeCell ref="A7:C7"/>
    <mergeCell ref="B8:C8"/>
    <mergeCell ref="B9:C9"/>
    <mergeCell ref="B10:C10"/>
    <mergeCell ref="B11:C11"/>
    <mergeCell ref="B16:C16"/>
    <mergeCell ref="B17:C17"/>
    <mergeCell ref="A14:C14"/>
    <mergeCell ref="A12:C12"/>
    <mergeCell ref="B15:C15"/>
    <mergeCell ref="B33:C33"/>
    <mergeCell ref="B22:C22"/>
    <mergeCell ref="B36:C36"/>
    <mergeCell ref="B41:C41"/>
    <mergeCell ref="B42:C42"/>
    <mergeCell ref="A37:C37"/>
    <mergeCell ref="B49:C49"/>
    <mergeCell ref="B43:C43"/>
    <mergeCell ref="B45:C45"/>
    <mergeCell ref="A44:C44"/>
    <mergeCell ref="B40:C40"/>
    <mergeCell ref="B39:C39"/>
    <mergeCell ref="B46:C46"/>
    <mergeCell ref="B48:C48"/>
    <mergeCell ref="B24:C24"/>
    <mergeCell ref="A1:D1"/>
    <mergeCell ref="B29:C29"/>
    <mergeCell ref="B34:C34"/>
    <mergeCell ref="B26:C26"/>
    <mergeCell ref="A31:C31"/>
    <mergeCell ref="A18:C18"/>
    <mergeCell ref="B19:C19"/>
    <mergeCell ref="B6:C6"/>
    <mergeCell ref="B3:C3"/>
    <mergeCell ref="B4:C4"/>
    <mergeCell ref="B13:C13"/>
    <mergeCell ref="B5:C5"/>
    <mergeCell ref="B32:C32"/>
    <mergeCell ref="B30:C30"/>
    <mergeCell ref="A2:C2"/>
    <mergeCell ref="B20:C20"/>
    <mergeCell ref="B21:C21"/>
    <mergeCell ref="B27:C27"/>
    <mergeCell ref="B28:C28"/>
    <mergeCell ref="A23:C23"/>
    <mergeCell ref="B25:C25"/>
  </mergeCells>
  <phoneticPr fontId="2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6"/>
  <sheetViews>
    <sheetView topLeftCell="A10" zoomScaleNormal="145" workbookViewId="0">
      <selection activeCell="P16" sqref="P16"/>
    </sheetView>
  </sheetViews>
  <sheetFormatPr defaultColWidth="9.109375" defaultRowHeight="14.4"/>
  <cols>
    <col min="1" max="1" width="5.44140625" style="2" customWidth="1"/>
    <col min="2" max="2" width="11.44140625" style="2" customWidth="1"/>
    <col min="3" max="3" width="9.109375" style="2"/>
    <col min="4" max="4" width="9.5546875" style="2" bestFit="1" customWidth="1"/>
    <col min="5" max="5" width="16.5546875" style="2" bestFit="1" customWidth="1"/>
    <col min="6" max="6" width="9.33203125" style="3" bestFit="1" customWidth="1"/>
    <col min="7" max="8" width="9.33203125" style="2" bestFit="1" customWidth="1"/>
    <col min="9" max="9" width="19.6640625" style="2" bestFit="1" customWidth="1"/>
    <col min="10" max="10" width="14.6640625" style="73" bestFit="1" customWidth="1"/>
    <col min="11" max="11" width="10.5546875" style="4" customWidth="1"/>
    <col min="12" max="12" width="11.6640625" style="4" customWidth="1"/>
    <col min="13" max="13" width="14" style="2" customWidth="1"/>
    <col min="14" max="14" width="18.88671875" style="2" customWidth="1"/>
    <col min="15" max="16384" width="9.109375" style="1"/>
  </cols>
  <sheetData>
    <row r="1" spans="1:15" s="98" customFormat="1" ht="15" thickBot="1">
      <c r="A1" s="94"/>
      <c r="B1" s="94"/>
      <c r="C1" s="94"/>
      <c r="D1" s="94"/>
      <c r="E1" s="94"/>
      <c r="F1" s="95"/>
      <c r="G1" s="94"/>
      <c r="H1" s="94"/>
      <c r="I1" s="94"/>
      <c r="J1" s="96"/>
      <c r="K1" s="74"/>
      <c r="L1" s="74"/>
      <c r="M1" s="94"/>
      <c r="N1" s="94"/>
    </row>
    <row r="2" spans="1:15" s="98" customFormat="1" ht="27" thickBot="1">
      <c r="A2" s="113" t="s">
        <v>0</v>
      </c>
      <c r="B2" s="114" t="s">
        <v>31</v>
      </c>
      <c r="C2" s="105" t="s">
        <v>32</v>
      </c>
      <c r="D2" s="105" t="s">
        <v>33</v>
      </c>
      <c r="E2" s="105" t="s">
        <v>34</v>
      </c>
      <c r="F2" s="105" t="s">
        <v>35</v>
      </c>
      <c r="G2" s="105" t="s">
        <v>36</v>
      </c>
      <c r="H2" s="105" t="s">
        <v>152</v>
      </c>
      <c r="I2" s="105" t="s">
        <v>37</v>
      </c>
      <c r="J2" s="115" t="s">
        <v>153</v>
      </c>
      <c r="K2" s="105" t="s">
        <v>38</v>
      </c>
      <c r="L2" s="105" t="s">
        <v>39</v>
      </c>
      <c r="M2" s="105" t="s">
        <v>54</v>
      </c>
      <c r="N2" s="106" t="s">
        <v>30</v>
      </c>
      <c r="O2" s="98">
        <v>8</v>
      </c>
    </row>
    <row r="3" spans="1:15" s="97" customFormat="1" ht="25.5" customHeight="1">
      <c r="A3" s="116">
        <v>1</v>
      </c>
      <c r="B3" s="117" t="s">
        <v>154</v>
      </c>
      <c r="C3" s="118" t="s">
        <v>155</v>
      </c>
      <c r="D3" s="118" t="s">
        <v>156</v>
      </c>
      <c r="E3" s="118" t="s">
        <v>339</v>
      </c>
      <c r="F3" s="118" t="s">
        <v>157</v>
      </c>
      <c r="G3" s="118">
        <v>2</v>
      </c>
      <c r="H3" s="118">
        <v>1984</v>
      </c>
      <c r="I3" s="119">
        <v>40514</v>
      </c>
      <c r="J3" s="255" t="s">
        <v>18</v>
      </c>
      <c r="K3" s="119" t="s">
        <v>331</v>
      </c>
      <c r="L3" s="119" t="s">
        <v>18</v>
      </c>
      <c r="M3" s="119" t="s">
        <v>331</v>
      </c>
      <c r="N3" s="120" t="s">
        <v>158</v>
      </c>
      <c r="O3" s="99">
        <v>2.5000000000000001E-2</v>
      </c>
    </row>
    <row r="4" spans="1:15" s="97" customFormat="1" ht="26.4">
      <c r="A4" s="116">
        <v>2</v>
      </c>
      <c r="B4" s="121" t="s">
        <v>159</v>
      </c>
      <c r="C4" s="122" t="s">
        <v>155</v>
      </c>
      <c r="D4" s="122">
        <v>244</v>
      </c>
      <c r="E4" s="118" t="s">
        <v>339</v>
      </c>
      <c r="F4" s="122" t="s">
        <v>258</v>
      </c>
      <c r="G4" s="122">
        <v>2</v>
      </c>
      <c r="H4" s="122">
        <v>1987</v>
      </c>
      <c r="I4" s="123">
        <v>10531</v>
      </c>
      <c r="J4" s="256" t="s">
        <v>18</v>
      </c>
      <c r="K4" s="119" t="s">
        <v>331</v>
      </c>
      <c r="L4" s="119" t="s">
        <v>18</v>
      </c>
      <c r="M4" s="119" t="s">
        <v>331</v>
      </c>
      <c r="N4" s="124" t="s">
        <v>158</v>
      </c>
      <c r="O4" s="99">
        <v>1.4999999999999999E-2</v>
      </c>
    </row>
    <row r="5" spans="1:15" s="97" customFormat="1" ht="26.4">
      <c r="A5" s="116">
        <v>3</v>
      </c>
      <c r="B5" s="121" t="s">
        <v>161</v>
      </c>
      <c r="C5" s="122" t="s">
        <v>162</v>
      </c>
      <c r="D5" s="122" t="s">
        <v>163</v>
      </c>
      <c r="E5" s="118" t="s">
        <v>339</v>
      </c>
      <c r="F5" s="122" t="s">
        <v>164</v>
      </c>
      <c r="G5" s="122">
        <v>2</v>
      </c>
      <c r="H5" s="122">
        <v>1993</v>
      </c>
      <c r="I5" s="123">
        <v>566873</v>
      </c>
      <c r="J5" s="256" t="s">
        <v>18</v>
      </c>
      <c r="K5" s="119" t="s">
        <v>331</v>
      </c>
      <c r="L5" s="119" t="s">
        <v>18</v>
      </c>
      <c r="M5" s="119" t="s">
        <v>331</v>
      </c>
      <c r="N5" s="124" t="s">
        <v>158</v>
      </c>
    </row>
    <row r="6" spans="1:15" s="98" customFormat="1" ht="26.4">
      <c r="A6" s="116">
        <v>4</v>
      </c>
      <c r="B6" s="121" t="s">
        <v>165</v>
      </c>
      <c r="C6" s="122" t="s">
        <v>162</v>
      </c>
      <c r="D6" s="122" t="s">
        <v>259</v>
      </c>
      <c r="E6" s="118" t="s">
        <v>339</v>
      </c>
      <c r="F6" s="122" t="s">
        <v>260</v>
      </c>
      <c r="G6" s="122">
        <v>2</v>
      </c>
      <c r="H6" s="122">
        <v>1994</v>
      </c>
      <c r="I6" s="123">
        <v>571888</v>
      </c>
      <c r="J6" s="256" t="s">
        <v>18</v>
      </c>
      <c r="K6" s="119" t="s">
        <v>331</v>
      </c>
      <c r="L6" s="119" t="s">
        <v>18</v>
      </c>
      <c r="M6" s="119" t="s">
        <v>331</v>
      </c>
      <c r="N6" s="124" t="s">
        <v>158</v>
      </c>
    </row>
    <row r="7" spans="1:15" s="98" customFormat="1" ht="26.4">
      <c r="A7" s="116">
        <v>5</v>
      </c>
      <c r="B7" s="121" t="s">
        <v>166</v>
      </c>
      <c r="C7" s="122" t="s">
        <v>167</v>
      </c>
      <c r="D7" s="122" t="s">
        <v>168</v>
      </c>
      <c r="E7" s="118" t="s">
        <v>339</v>
      </c>
      <c r="F7" s="122" t="s">
        <v>261</v>
      </c>
      <c r="G7" s="122">
        <v>2</v>
      </c>
      <c r="H7" s="122">
        <v>2000</v>
      </c>
      <c r="I7" s="123" t="s">
        <v>169</v>
      </c>
      <c r="J7" s="256">
        <v>6600</v>
      </c>
      <c r="K7" s="119" t="s">
        <v>331</v>
      </c>
      <c r="L7" s="119" t="s">
        <v>331</v>
      </c>
      <c r="M7" s="119" t="s">
        <v>331</v>
      </c>
      <c r="N7" s="124" t="s">
        <v>158</v>
      </c>
    </row>
    <row r="8" spans="1:15" s="98" customFormat="1" ht="26.4">
      <c r="A8" s="116">
        <v>6</v>
      </c>
      <c r="B8" s="121" t="s">
        <v>170</v>
      </c>
      <c r="C8" s="122" t="s">
        <v>167</v>
      </c>
      <c r="D8" s="122">
        <v>3524</v>
      </c>
      <c r="E8" s="118" t="s">
        <v>339</v>
      </c>
      <c r="F8" s="122" t="s">
        <v>181</v>
      </c>
      <c r="G8" s="122">
        <v>2</v>
      </c>
      <c r="H8" s="122">
        <v>2004</v>
      </c>
      <c r="I8" s="123" t="s">
        <v>172</v>
      </c>
      <c r="J8" s="256">
        <v>17300</v>
      </c>
      <c r="K8" s="119" t="s">
        <v>331</v>
      </c>
      <c r="L8" s="119" t="s">
        <v>331</v>
      </c>
      <c r="M8" s="119" t="s">
        <v>331</v>
      </c>
      <c r="N8" s="124" t="s">
        <v>158</v>
      </c>
    </row>
    <row r="9" spans="1:15" s="98" customFormat="1" ht="26.4">
      <c r="A9" s="116">
        <v>7</v>
      </c>
      <c r="B9" s="121" t="s">
        <v>173</v>
      </c>
      <c r="C9" s="122" t="s">
        <v>167</v>
      </c>
      <c r="D9" s="122">
        <v>3504</v>
      </c>
      <c r="E9" s="118" t="s">
        <v>339</v>
      </c>
      <c r="F9" s="122" t="s">
        <v>171</v>
      </c>
      <c r="G9" s="122">
        <v>2</v>
      </c>
      <c r="H9" s="122">
        <v>1997</v>
      </c>
      <c r="I9" s="123" t="s">
        <v>174</v>
      </c>
      <c r="J9" s="256" t="s">
        <v>18</v>
      </c>
      <c r="K9" s="119" t="s">
        <v>331</v>
      </c>
      <c r="L9" s="119" t="s">
        <v>18</v>
      </c>
      <c r="M9" s="119" t="s">
        <v>331</v>
      </c>
      <c r="N9" s="124" t="s">
        <v>158</v>
      </c>
    </row>
    <row r="10" spans="1:15" s="98" customFormat="1" ht="26.4">
      <c r="A10" s="116">
        <v>8</v>
      </c>
      <c r="B10" s="121" t="s">
        <v>175</v>
      </c>
      <c r="C10" s="122" t="s">
        <v>176</v>
      </c>
      <c r="D10" s="122" t="s">
        <v>177</v>
      </c>
      <c r="E10" s="118" t="s">
        <v>339</v>
      </c>
      <c r="F10" s="122" t="s">
        <v>262</v>
      </c>
      <c r="G10" s="122">
        <v>2</v>
      </c>
      <c r="H10" s="122">
        <v>2002</v>
      </c>
      <c r="I10" s="123" t="s">
        <v>178</v>
      </c>
      <c r="J10" s="256">
        <v>14000</v>
      </c>
      <c r="K10" s="119" t="s">
        <v>331</v>
      </c>
      <c r="L10" s="119" t="s">
        <v>331</v>
      </c>
      <c r="M10" s="119" t="s">
        <v>331</v>
      </c>
      <c r="N10" s="124" t="s">
        <v>158</v>
      </c>
    </row>
    <row r="11" spans="1:15" s="98" customFormat="1" ht="26.4">
      <c r="A11" s="116">
        <v>9</v>
      </c>
      <c r="B11" s="121" t="s">
        <v>179</v>
      </c>
      <c r="C11" s="122" t="s">
        <v>162</v>
      </c>
      <c r="D11" s="122" t="s">
        <v>180</v>
      </c>
      <c r="E11" s="118" t="s">
        <v>339</v>
      </c>
      <c r="F11" s="122" t="s">
        <v>181</v>
      </c>
      <c r="G11" s="122">
        <v>2</v>
      </c>
      <c r="H11" s="122">
        <v>1994</v>
      </c>
      <c r="I11" s="123" t="s">
        <v>263</v>
      </c>
      <c r="J11" s="256" t="s">
        <v>18</v>
      </c>
      <c r="K11" s="119" t="s">
        <v>331</v>
      </c>
      <c r="L11" s="123" t="s">
        <v>18</v>
      </c>
      <c r="M11" s="119" t="s">
        <v>331</v>
      </c>
      <c r="N11" s="124" t="s">
        <v>158</v>
      </c>
    </row>
    <row r="12" spans="1:15" s="98" customFormat="1" ht="26.4">
      <c r="A12" s="116">
        <v>10</v>
      </c>
      <c r="B12" s="121" t="s">
        <v>182</v>
      </c>
      <c r="C12" s="122" t="s">
        <v>183</v>
      </c>
      <c r="D12" s="122" t="s">
        <v>184</v>
      </c>
      <c r="E12" s="122" t="s">
        <v>185</v>
      </c>
      <c r="F12" s="122" t="s">
        <v>186</v>
      </c>
      <c r="G12" s="122">
        <v>5</v>
      </c>
      <c r="H12" s="122">
        <v>2003</v>
      </c>
      <c r="I12" s="123" t="s">
        <v>187</v>
      </c>
      <c r="J12" s="256" t="s">
        <v>18</v>
      </c>
      <c r="K12" s="119" t="s">
        <v>331</v>
      </c>
      <c r="L12" s="119" t="s">
        <v>18</v>
      </c>
      <c r="M12" s="119" t="s">
        <v>331</v>
      </c>
      <c r="N12" s="124" t="s">
        <v>158</v>
      </c>
    </row>
    <row r="13" spans="1:15" s="98" customFormat="1" ht="26.4">
      <c r="A13" s="116">
        <v>11</v>
      </c>
      <c r="B13" s="121" t="s">
        <v>188</v>
      </c>
      <c r="C13" s="122" t="s">
        <v>189</v>
      </c>
      <c r="D13" s="122">
        <v>330212</v>
      </c>
      <c r="E13" s="122" t="s">
        <v>339</v>
      </c>
      <c r="F13" s="122" t="s">
        <v>190</v>
      </c>
      <c r="G13" s="122">
        <v>2</v>
      </c>
      <c r="H13" s="122">
        <v>2000</v>
      </c>
      <c r="I13" s="123" t="s">
        <v>191</v>
      </c>
      <c r="J13" s="256" t="s">
        <v>18</v>
      </c>
      <c r="K13" s="119" t="s">
        <v>331</v>
      </c>
      <c r="L13" s="119" t="s">
        <v>18</v>
      </c>
      <c r="M13" s="119" t="s">
        <v>331</v>
      </c>
      <c r="N13" s="124" t="s">
        <v>158</v>
      </c>
    </row>
    <row r="14" spans="1:15" s="98" customFormat="1" ht="26.4">
      <c r="A14" s="116">
        <v>12</v>
      </c>
      <c r="B14" s="121" t="s">
        <v>192</v>
      </c>
      <c r="C14" s="122" t="s">
        <v>193</v>
      </c>
      <c r="D14" s="122" t="s">
        <v>194</v>
      </c>
      <c r="E14" s="122" t="s">
        <v>339</v>
      </c>
      <c r="F14" s="122" t="s">
        <v>195</v>
      </c>
      <c r="G14" s="122">
        <v>6</v>
      </c>
      <c r="H14" s="122">
        <v>2010</v>
      </c>
      <c r="I14" s="123" t="s">
        <v>196</v>
      </c>
      <c r="J14" s="256">
        <v>95400</v>
      </c>
      <c r="K14" s="119" t="s">
        <v>331</v>
      </c>
      <c r="L14" s="119" t="s">
        <v>331</v>
      </c>
      <c r="M14" s="119" t="s">
        <v>331</v>
      </c>
      <c r="N14" s="124" t="s">
        <v>158</v>
      </c>
    </row>
    <row r="15" spans="1:15" s="98" customFormat="1" ht="26.4">
      <c r="A15" s="116">
        <v>13</v>
      </c>
      <c r="B15" s="121" t="s">
        <v>197</v>
      </c>
      <c r="C15" s="122" t="s">
        <v>160</v>
      </c>
      <c r="D15" s="122">
        <v>325</v>
      </c>
      <c r="E15" s="122" t="s">
        <v>339</v>
      </c>
      <c r="F15" s="122" t="s">
        <v>198</v>
      </c>
      <c r="G15" s="122">
        <v>4</v>
      </c>
      <c r="H15" s="122">
        <v>1992</v>
      </c>
      <c r="I15" s="123" t="s">
        <v>199</v>
      </c>
      <c r="J15" s="256" t="s">
        <v>18</v>
      </c>
      <c r="K15" s="119" t="s">
        <v>331</v>
      </c>
      <c r="L15" s="119" t="s">
        <v>18</v>
      </c>
      <c r="M15" s="119" t="s">
        <v>247</v>
      </c>
      <c r="N15" s="124" t="s">
        <v>158</v>
      </c>
    </row>
    <row r="16" spans="1:15" s="98" customFormat="1" ht="26.4">
      <c r="A16" s="116">
        <v>14</v>
      </c>
      <c r="B16" s="125" t="s">
        <v>249</v>
      </c>
      <c r="C16" s="126" t="s">
        <v>250</v>
      </c>
      <c r="D16" s="126">
        <v>330212</v>
      </c>
      <c r="E16" s="126" t="s">
        <v>339</v>
      </c>
      <c r="F16" s="126" t="s">
        <v>171</v>
      </c>
      <c r="G16" s="126">
        <v>2</v>
      </c>
      <c r="H16" s="126">
        <v>2000</v>
      </c>
      <c r="I16" s="127" t="s">
        <v>251</v>
      </c>
      <c r="J16" s="257" t="s">
        <v>18</v>
      </c>
      <c r="K16" s="119" t="s">
        <v>247</v>
      </c>
      <c r="L16" s="119" t="s">
        <v>18</v>
      </c>
      <c r="M16" s="119" t="s">
        <v>247</v>
      </c>
      <c r="N16" s="124" t="s">
        <v>158</v>
      </c>
    </row>
    <row r="17" spans="1:14" s="98" customFormat="1" ht="26.4">
      <c r="A17" s="116">
        <v>15</v>
      </c>
      <c r="B17" s="125" t="s">
        <v>243</v>
      </c>
      <c r="C17" s="126" t="s">
        <v>244</v>
      </c>
      <c r="D17" s="126" t="s">
        <v>245</v>
      </c>
      <c r="E17" s="126" t="s">
        <v>339</v>
      </c>
      <c r="F17" s="126" t="s">
        <v>246</v>
      </c>
      <c r="G17" s="126">
        <v>6</v>
      </c>
      <c r="H17" s="126">
        <v>2017</v>
      </c>
      <c r="I17" s="127" t="s">
        <v>264</v>
      </c>
      <c r="J17" s="257">
        <v>483300</v>
      </c>
      <c r="K17" s="127" t="s">
        <v>248</v>
      </c>
      <c r="L17" s="127" t="s">
        <v>248</v>
      </c>
      <c r="M17" s="127" t="s">
        <v>248</v>
      </c>
      <c r="N17" s="128" t="s">
        <v>158</v>
      </c>
    </row>
    <row r="18" spans="1:14" s="129" customFormat="1" ht="26.4">
      <c r="A18" s="116">
        <v>16</v>
      </c>
      <c r="B18" s="258" t="s">
        <v>265</v>
      </c>
      <c r="C18" s="259" t="s">
        <v>183</v>
      </c>
      <c r="D18" s="259" t="s">
        <v>266</v>
      </c>
      <c r="E18" s="259" t="s">
        <v>339</v>
      </c>
      <c r="F18" s="259">
        <v>2299</v>
      </c>
      <c r="G18" s="259">
        <v>6</v>
      </c>
      <c r="H18" s="259">
        <v>2013</v>
      </c>
      <c r="I18" s="260" t="s">
        <v>267</v>
      </c>
      <c r="J18" s="261">
        <v>93200</v>
      </c>
      <c r="K18" s="260" t="s">
        <v>331</v>
      </c>
      <c r="L18" s="260" t="s">
        <v>331</v>
      </c>
      <c r="M18" s="260" t="s">
        <v>331</v>
      </c>
      <c r="N18" s="262" t="s">
        <v>158</v>
      </c>
    </row>
    <row r="19" spans="1:14" s="129" customFormat="1" ht="27">
      <c r="A19" s="116">
        <v>17</v>
      </c>
      <c r="B19" s="263" t="s">
        <v>268</v>
      </c>
      <c r="C19" s="264" t="s">
        <v>269</v>
      </c>
      <c r="D19" s="264" t="s">
        <v>270</v>
      </c>
      <c r="E19" s="265" t="s">
        <v>339</v>
      </c>
      <c r="F19" s="266" t="s">
        <v>271</v>
      </c>
      <c r="G19" s="264">
        <v>6</v>
      </c>
      <c r="H19" s="264">
        <v>2019</v>
      </c>
      <c r="I19" s="264" t="s">
        <v>334</v>
      </c>
      <c r="J19" s="267">
        <v>727300</v>
      </c>
      <c r="K19" s="268" t="s">
        <v>333</v>
      </c>
      <c r="L19" s="268" t="s">
        <v>333</v>
      </c>
      <c r="M19" s="268" t="s">
        <v>333</v>
      </c>
      <c r="N19" s="269" t="s">
        <v>158</v>
      </c>
    </row>
    <row r="20" spans="1:14" s="129" customFormat="1" ht="27.6" thickBot="1">
      <c r="A20" s="116">
        <v>18</v>
      </c>
      <c r="B20" s="270" t="s">
        <v>272</v>
      </c>
      <c r="C20" s="271" t="s">
        <v>269</v>
      </c>
      <c r="D20" s="271" t="s">
        <v>273</v>
      </c>
      <c r="E20" s="271" t="s">
        <v>339</v>
      </c>
      <c r="F20" s="272" t="s">
        <v>271</v>
      </c>
      <c r="G20" s="271">
        <v>6</v>
      </c>
      <c r="H20" s="271">
        <v>2019</v>
      </c>
      <c r="I20" s="271" t="s">
        <v>335</v>
      </c>
      <c r="J20" s="273">
        <v>615500</v>
      </c>
      <c r="K20" s="274" t="s">
        <v>332</v>
      </c>
      <c r="L20" s="274" t="s">
        <v>332</v>
      </c>
      <c r="M20" s="274" t="s">
        <v>332</v>
      </c>
      <c r="N20" s="275" t="s">
        <v>158</v>
      </c>
    </row>
    <row r="21" spans="1:14">
      <c r="J21" s="72"/>
    </row>
    <row r="22" spans="1:14">
      <c r="J22" s="72"/>
    </row>
    <row r="23" spans="1:14">
      <c r="J23" s="72"/>
    </row>
    <row r="24" spans="1:14">
      <c r="J24" s="72"/>
    </row>
    <row r="25" spans="1:14">
      <c r="J25" s="72"/>
    </row>
    <row r="26" spans="1:14">
      <c r="J26" s="72"/>
    </row>
    <row r="27" spans="1:14">
      <c r="J27" s="72"/>
    </row>
    <row r="28" spans="1:14">
      <c r="J28" s="72"/>
    </row>
    <row r="29" spans="1:14">
      <c r="J29" s="72"/>
    </row>
    <row r="30" spans="1:14">
      <c r="J30" s="72"/>
    </row>
    <row r="31" spans="1:14">
      <c r="J31" s="72"/>
    </row>
    <row r="32" spans="1:14">
      <c r="J32" s="72"/>
    </row>
    <row r="33" spans="10:10">
      <c r="J33" s="72"/>
    </row>
    <row r="34" spans="10:10">
      <c r="J34" s="72"/>
    </row>
    <row r="35" spans="10:10">
      <c r="J35" s="72"/>
    </row>
    <row r="36" spans="10:10">
      <c r="J36" s="72"/>
    </row>
    <row r="37" spans="10:10">
      <c r="J37" s="72"/>
    </row>
    <row r="38" spans="10:10">
      <c r="J38" s="72"/>
    </row>
    <row r="39" spans="10:10">
      <c r="J39" s="72"/>
    </row>
    <row r="40" spans="10:10">
      <c r="J40" s="72"/>
    </row>
    <row r="41" spans="10:10">
      <c r="J41" s="72"/>
    </row>
    <row r="42" spans="10:10">
      <c r="J42" s="72"/>
    </row>
    <row r="43" spans="10:10">
      <c r="J43" s="72"/>
    </row>
    <row r="44" spans="10:10">
      <c r="J44" s="72"/>
    </row>
    <row r="45" spans="10:10">
      <c r="J45" s="72"/>
    </row>
    <row r="46" spans="10:10">
      <c r="J46" s="72"/>
    </row>
    <row r="47" spans="10:10">
      <c r="J47" s="72"/>
    </row>
    <row r="48" spans="10:10">
      <c r="J48" s="72"/>
    </row>
    <row r="49" spans="10:10">
      <c r="J49" s="72"/>
    </row>
    <row r="50" spans="10:10">
      <c r="J50" s="72"/>
    </row>
    <row r="51" spans="10:10">
      <c r="J51" s="72"/>
    </row>
    <row r="52" spans="10:10">
      <c r="J52" s="72"/>
    </row>
    <row r="53" spans="10:10">
      <c r="J53" s="72"/>
    </row>
    <row r="54" spans="10:10">
      <c r="J54" s="72"/>
    </row>
    <row r="55" spans="10:10">
      <c r="J55" s="72"/>
    </row>
    <row r="56" spans="10:10">
      <c r="J56" s="72"/>
    </row>
    <row r="57" spans="10:10">
      <c r="J57" s="72"/>
    </row>
    <row r="58" spans="10:10">
      <c r="J58" s="72"/>
    </row>
    <row r="59" spans="10:10">
      <c r="J59" s="72"/>
    </row>
    <row r="60" spans="10:10">
      <c r="J60" s="72"/>
    </row>
    <row r="61" spans="10:10">
      <c r="J61" s="72"/>
    </row>
    <row r="62" spans="10:10">
      <c r="J62" s="72"/>
    </row>
    <row r="63" spans="10:10">
      <c r="J63" s="72"/>
    </row>
    <row r="64" spans="10:10">
      <c r="J64" s="72"/>
    </row>
    <row r="65" spans="10:10">
      <c r="J65" s="72"/>
    </row>
    <row r="66" spans="10:10">
      <c r="J66" s="72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tabSelected="1" workbookViewId="0">
      <selection activeCell="C7" sqref="C7"/>
    </sheetView>
  </sheetViews>
  <sheetFormatPr defaultRowHeight="14.4"/>
  <cols>
    <col min="1" max="1" width="3.44140625" bestFit="1" customWidth="1"/>
    <col min="2" max="2" width="18.33203125" customWidth="1"/>
    <col min="3" max="3" width="37.6640625" customWidth="1"/>
    <col min="4" max="4" width="44" customWidth="1"/>
  </cols>
  <sheetData>
    <row r="1" spans="1:5" s="100" customFormat="1" ht="15" thickBot="1"/>
    <row r="2" spans="1:5" s="107" customFormat="1" ht="27" thickBot="1">
      <c r="A2" s="104" t="s">
        <v>0</v>
      </c>
      <c r="B2" s="105" t="s">
        <v>30</v>
      </c>
      <c r="C2" s="105" t="s">
        <v>221</v>
      </c>
      <c r="D2" s="106" t="s">
        <v>222</v>
      </c>
    </row>
    <row r="3" spans="1:5" s="107" customFormat="1" ht="26.4">
      <c r="A3" s="101">
        <v>1</v>
      </c>
      <c r="B3" s="251" t="s">
        <v>223</v>
      </c>
      <c r="C3" s="252" t="s">
        <v>224</v>
      </c>
      <c r="D3" s="253"/>
      <c r="E3" s="100"/>
    </row>
    <row r="4" spans="1:5" s="100" customFormat="1">
      <c r="A4" s="376" t="s">
        <v>13</v>
      </c>
      <c r="B4" s="377" t="s">
        <v>225</v>
      </c>
      <c r="C4" s="378" t="s">
        <v>226</v>
      </c>
      <c r="D4" s="373"/>
    </row>
    <row r="5" spans="1:5" s="100" customFormat="1">
      <c r="A5" s="376"/>
      <c r="B5" s="377"/>
      <c r="C5" s="378"/>
      <c r="D5" s="374"/>
    </row>
    <row r="6" spans="1:5" s="100" customFormat="1">
      <c r="A6" s="376"/>
      <c r="B6" s="377"/>
      <c r="C6" s="378"/>
      <c r="D6" s="375"/>
    </row>
    <row r="7" spans="1:5" s="100" customFormat="1" ht="66">
      <c r="A7" s="130" t="s">
        <v>14</v>
      </c>
      <c r="B7" s="235" t="s">
        <v>227</v>
      </c>
      <c r="C7" s="131" t="s">
        <v>315</v>
      </c>
      <c r="D7" s="236" t="s">
        <v>274</v>
      </c>
    </row>
    <row r="8" spans="1:5" s="107" customFormat="1" ht="26.4">
      <c r="A8" s="141" t="s">
        <v>15</v>
      </c>
      <c r="B8" s="235" t="s">
        <v>230</v>
      </c>
      <c r="C8" s="131" t="s">
        <v>231</v>
      </c>
      <c r="D8" s="236"/>
    </row>
    <row r="9" spans="1:5" s="100" customFormat="1" ht="52.8">
      <c r="A9" s="141" t="s">
        <v>16</v>
      </c>
      <c r="B9" s="235" t="s">
        <v>232</v>
      </c>
      <c r="C9" s="131" t="s">
        <v>294</v>
      </c>
      <c r="D9" s="236" t="s">
        <v>295</v>
      </c>
    </row>
    <row r="10" spans="1:5" s="100" customFormat="1" ht="89.25" customHeight="1">
      <c r="A10" s="102" t="s">
        <v>17</v>
      </c>
      <c r="B10" s="235" t="s">
        <v>233</v>
      </c>
      <c r="C10" s="131" t="s">
        <v>224</v>
      </c>
      <c r="D10" s="236"/>
    </row>
    <row r="11" spans="1:5" s="100" customFormat="1" ht="79.2">
      <c r="A11" s="379" t="s">
        <v>19</v>
      </c>
      <c r="B11" s="377" t="s">
        <v>234</v>
      </c>
      <c r="C11" s="131" t="s">
        <v>284</v>
      </c>
      <c r="D11" s="236" t="s">
        <v>228</v>
      </c>
    </row>
    <row r="12" spans="1:5" s="100" customFormat="1" ht="52.8">
      <c r="A12" s="379"/>
      <c r="B12" s="377"/>
      <c r="C12" s="131" t="s">
        <v>285</v>
      </c>
      <c r="D12" s="236" t="s">
        <v>252</v>
      </c>
    </row>
    <row r="13" spans="1:5" s="100" customFormat="1" ht="52.8">
      <c r="A13" s="379"/>
      <c r="B13" s="377"/>
      <c r="C13" s="131" t="s">
        <v>286</v>
      </c>
      <c r="D13" s="236" t="s">
        <v>252</v>
      </c>
    </row>
    <row r="14" spans="1:5" s="100" customFormat="1" ht="26.4">
      <c r="A14" s="379" t="s">
        <v>20</v>
      </c>
      <c r="B14" s="377" t="s">
        <v>235</v>
      </c>
      <c r="C14" s="131" t="s">
        <v>229</v>
      </c>
      <c r="D14" s="386" t="s">
        <v>289</v>
      </c>
    </row>
    <row r="15" spans="1:5" s="100" customFormat="1" ht="25.5" customHeight="1">
      <c r="A15" s="379"/>
      <c r="B15" s="377"/>
      <c r="C15" s="380" t="s">
        <v>288</v>
      </c>
      <c r="D15" s="386"/>
    </row>
    <row r="16" spans="1:5" s="100" customFormat="1">
      <c r="A16" s="379"/>
      <c r="B16" s="377"/>
      <c r="C16" s="381"/>
      <c r="D16" s="386"/>
    </row>
    <row r="17" spans="1:4" s="100" customFormat="1" ht="39.6">
      <c r="A17" s="382" t="s">
        <v>21</v>
      </c>
      <c r="B17" s="382" t="s">
        <v>212</v>
      </c>
      <c r="C17" s="131" t="s">
        <v>312</v>
      </c>
      <c r="D17" s="384" t="s">
        <v>314</v>
      </c>
    </row>
    <row r="18" spans="1:4" ht="97.5" customHeight="1" thickBot="1">
      <c r="A18" s="383"/>
      <c r="B18" s="383"/>
      <c r="C18" s="199" t="s">
        <v>313</v>
      </c>
      <c r="D18" s="385"/>
    </row>
  </sheetData>
  <mergeCells count="13">
    <mergeCell ref="B17:B18"/>
    <mergeCell ref="A17:A18"/>
    <mergeCell ref="D17:D18"/>
    <mergeCell ref="D14:D16"/>
    <mergeCell ref="A11:A13"/>
    <mergeCell ref="B11:B13"/>
    <mergeCell ref="D4:D6"/>
    <mergeCell ref="A4:A6"/>
    <mergeCell ref="B4:B6"/>
    <mergeCell ref="C4:C6"/>
    <mergeCell ref="A14:A16"/>
    <mergeCell ref="B14:B16"/>
    <mergeCell ref="C15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Załacznik Nr 1 - Wykaz mienia</vt:lpstr>
      <vt:lpstr>Załącznik Nr 2 - Wykaz sprzętu</vt:lpstr>
      <vt:lpstr>Załącznik Nr 3 - Wykaz pojazdów</vt:lpstr>
      <vt:lpstr>Załacznik Nr 4 - Zabezpieczenia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Aneta Horecka</cp:lastModifiedBy>
  <dcterms:created xsi:type="dcterms:W3CDTF">2014-05-28T12:19:35Z</dcterms:created>
  <dcterms:modified xsi:type="dcterms:W3CDTF">2020-10-15T10:22:56Z</dcterms:modified>
</cp:coreProperties>
</file>